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E62F5CF7-E769-45D9-BFC1-5EC202E704FE}"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X22" i="73" s="1"/>
  <c r="N23" i="82" s="1"/>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P29" i="72" s="1"/>
  <c r="J30" i="81" s="1"/>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60" i="70" l="1"/>
  <c r="N61" i="79" s="1"/>
  <c r="X54" i="73"/>
  <c r="N55" i="82" s="1"/>
  <c r="H19" i="67"/>
  <c r="F20" i="76" s="1"/>
  <c r="X33" i="70"/>
  <c r="N34" i="79" s="1"/>
  <c r="X41" i="70"/>
  <c r="N42" i="79" s="1"/>
  <c r="X49" i="70"/>
  <c r="N50" i="79" s="1"/>
  <c r="X57" i="70"/>
  <c r="N58" i="79" s="1"/>
  <c r="X65" i="70"/>
  <c r="N66" i="79" s="1"/>
  <c r="P15" i="71"/>
  <c r="J16" i="80" s="1"/>
  <c r="P31" i="71"/>
  <c r="J32" i="80" s="1"/>
  <c r="P39" i="71"/>
  <c r="J40" i="80" s="1"/>
  <c r="P47" i="71"/>
  <c r="J48" i="80" s="1"/>
  <c r="P55" i="71"/>
  <c r="J56" i="80" s="1"/>
  <c r="P63" i="71"/>
  <c r="J64" i="80" s="1"/>
  <c r="P71" i="71"/>
  <c r="J72" i="80" s="1"/>
  <c r="P25" i="72"/>
  <c r="J26" i="81" s="1"/>
  <c r="X68" i="70"/>
  <c r="N69" i="79" s="1"/>
  <c r="X43" i="72"/>
  <c r="N44" i="81" s="1"/>
  <c r="X55" i="72"/>
  <c r="N56" i="81" s="1"/>
  <c r="X52" i="72"/>
  <c r="N53" i="81" s="1"/>
  <c r="X45" i="68"/>
  <c r="N46" i="77" s="1"/>
  <c r="X69" i="68"/>
  <c r="N70" i="77" s="1"/>
  <c r="X16" i="69"/>
  <c r="N17" i="78" s="1"/>
  <c r="X32" i="69"/>
  <c r="N33" i="78" s="1"/>
  <c r="X40" i="69"/>
  <c r="N41" i="78" s="1"/>
  <c r="X48" i="69"/>
  <c r="N49" i="78" s="1"/>
  <c r="X56" i="69"/>
  <c r="N57" i="78" s="1"/>
  <c r="X64" i="69"/>
  <c r="N65" i="78" s="1"/>
  <c r="X72" i="69"/>
  <c r="N73" i="78" s="1"/>
  <c r="AA20" i="73"/>
  <c r="O21" i="82" s="1"/>
  <c r="AA60" i="73"/>
  <c r="O61" i="82" s="1"/>
  <c r="X36" i="70"/>
  <c r="N37" i="79" s="1"/>
  <c r="P64" i="73"/>
  <c r="H44" i="68"/>
  <c r="H31" i="69"/>
  <c r="F32" i="78" s="1"/>
  <c r="H39" i="69"/>
  <c r="F40" i="78" s="1"/>
  <c r="X31" i="70"/>
  <c r="N32" i="79" s="1"/>
  <c r="X39" i="70"/>
  <c r="N40" i="79" s="1"/>
  <c r="X47" i="70"/>
  <c r="N48" i="79" s="1"/>
  <c r="X55" i="70"/>
  <c r="N56" i="79" s="1"/>
  <c r="X63" i="70"/>
  <c r="N64" i="79" s="1"/>
  <c r="X60" i="73"/>
  <c r="N61" i="82" s="1"/>
  <c r="X68" i="73"/>
  <c r="N69" i="82" s="1"/>
  <c r="X24" i="68"/>
  <c r="N25" i="77" s="1"/>
  <c r="X32" i="68"/>
  <c r="N33" i="77" s="1"/>
  <c r="X40" i="68"/>
  <c r="N41" i="77" s="1"/>
  <c r="X48" i="68"/>
  <c r="N49" i="77" s="1"/>
  <c r="X56" i="68"/>
  <c r="N57" i="77" s="1"/>
  <c r="X64" i="68"/>
  <c r="N65" i="77" s="1"/>
  <c r="X72" i="68"/>
  <c r="N73" i="77" s="1"/>
  <c r="X19" i="69"/>
  <c r="N20" i="78" s="1"/>
  <c r="X27" i="69"/>
  <c r="N28" i="78" s="1"/>
  <c r="X35" i="69"/>
  <c r="N36" i="78" s="1"/>
  <c r="X43" i="69"/>
  <c r="N44" i="78" s="1"/>
  <c r="X51" i="69"/>
  <c r="N52" i="78" s="1"/>
  <c r="X59" i="69"/>
  <c r="N60" i="78" s="1"/>
  <c r="X67" i="69"/>
  <c r="N68" i="78" s="1"/>
  <c r="P33" i="70"/>
  <c r="P41" i="70"/>
  <c r="P49" i="70"/>
  <c r="P57" i="70"/>
  <c r="J58" i="79" s="1"/>
  <c r="P65" i="70"/>
  <c r="J66" i="79" s="1"/>
  <c r="H31" i="71"/>
  <c r="F32" i="80" s="1"/>
  <c r="H39" i="71"/>
  <c r="F40" i="80" s="1"/>
  <c r="H47" i="71"/>
  <c r="F48" i="80" s="1"/>
  <c r="H55" i="71"/>
  <c r="F56" i="80" s="1"/>
  <c r="X35" i="72"/>
  <c r="N36" i="81" s="1"/>
  <c r="X44" i="72"/>
  <c r="N45" i="81" s="1"/>
  <c r="X47" i="72"/>
  <c r="N48" i="81" s="1"/>
  <c r="X59" i="72"/>
  <c r="N60" i="81" s="1"/>
  <c r="P23" i="67"/>
  <c r="J24" i="76" s="1"/>
  <c r="P39" i="67"/>
  <c r="J40" i="76" s="1"/>
  <c r="P47" i="67"/>
  <c r="J48" i="76" s="1"/>
  <c r="P55" i="67"/>
  <c r="J56" i="76" s="1"/>
  <c r="P63" i="67"/>
  <c r="J64" i="76" s="1"/>
  <c r="P71" i="67"/>
  <c r="J72" i="76" s="1"/>
  <c r="X67" i="71"/>
  <c r="N68" i="80" s="1"/>
  <c r="P56" i="73"/>
  <c r="J57" i="82" s="1"/>
  <c r="X71" i="70"/>
  <c r="N72" i="79" s="1"/>
  <c r="P21" i="71"/>
  <c r="J22" i="80" s="1"/>
  <c r="P29" i="71"/>
  <c r="J30" i="80" s="1"/>
  <c r="P37" i="71"/>
  <c r="J38" i="80" s="1"/>
  <c r="P45" i="71"/>
  <c r="J46" i="80" s="1"/>
  <c r="P53" i="71"/>
  <c r="J54" i="80" s="1"/>
  <c r="P61" i="71"/>
  <c r="J62" i="80" s="1"/>
  <c r="P69" i="71"/>
  <c r="J70" i="80" s="1"/>
  <c r="X26" i="67"/>
  <c r="N27" i="76" s="1"/>
  <c r="X29" i="68"/>
  <c r="N30" i="77" s="1"/>
  <c r="X36" i="72"/>
  <c r="N37" i="81" s="1"/>
  <c r="X39" i="72"/>
  <c r="N40" i="81" s="1"/>
  <c r="X51" i="72"/>
  <c r="N52" i="81" s="1"/>
  <c r="X60" i="72"/>
  <c r="N61" i="81" s="1"/>
  <c r="X63" i="72"/>
  <c r="N64" i="81" s="1"/>
  <c r="H63" i="71"/>
  <c r="F64" i="80" s="1"/>
  <c r="X67" i="72"/>
  <c r="N68" i="81" s="1"/>
  <c r="X68" i="72"/>
  <c r="N69" i="81" s="1"/>
  <c r="P60" i="73"/>
  <c r="X66" i="73"/>
  <c r="N67" i="82" s="1"/>
  <c r="P68" i="73"/>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4" i="79"/>
  <c r="J46" i="79"/>
  <c r="J50" i="79"/>
  <c r="J29" i="80"/>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J69" i="82"/>
  <c r="J42" i="79"/>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J65" i="82"/>
  <c r="AA20" i="71"/>
  <c r="O21" i="80" s="1"/>
  <c r="AA36" i="71"/>
  <c r="O37" i="80" s="1"/>
  <c r="X62" i="71"/>
  <c r="N63" i="80" s="1"/>
  <c r="X70" i="71"/>
  <c r="N71" i="80" s="1"/>
  <c r="X22" i="72"/>
  <c r="N23" i="81" s="1"/>
  <c r="X26" i="72"/>
  <c r="N27" i="81" s="1"/>
  <c r="X50" i="72"/>
  <c r="N51" i="81" s="1"/>
  <c r="J61" i="82"/>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l="1"/>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H64" i="48" s="1"/>
  <c r="F65" i="36" s="1"/>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X54" i="47" s="1"/>
  <c r="N55" i="35" s="1"/>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H49" i="46" s="1"/>
  <c r="F50" i="34" s="1"/>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66" i="46" l="1"/>
  <c r="F67" i="34" s="1"/>
  <c r="P67" i="47"/>
  <c r="P69" i="46"/>
  <c r="J70"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7" i="43"/>
  <c r="J24" i="43"/>
  <c r="J23" i="43"/>
  <c r="J22" i="43"/>
  <c r="J21" i="43"/>
  <c r="J20" i="43"/>
  <c r="J19" i="43"/>
  <c r="J18" i="43"/>
  <c r="J17" i="43"/>
  <c r="J16" i="43"/>
  <c r="J28" i="43" s="1"/>
  <c r="A16" i="43"/>
  <c r="J30" i="41"/>
  <c r="A30" i="41"/>
  <c r="J29" i="41"/>
  <c r="J24" i="41"/>
  <c r="J28" i="41" s="1"/>
  <c r="J23" i="41"/>
  <c r="J22" i="41"/>
  <c r="J21" i="4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J27" i="41" l="1"/>
  <c r="L38" i="50"/>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G22" i="30"/>
  <c r="H22"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90" i="29" l="1"/>
  <c r="J90" i="29" s="1"/>
  <c r="J89" i="29"/>
  <c r="X90" i="40"/>
  <c r="D20" i="32"/>
  <c r="F20" i="32" s="1"/>
  <c r="K19" i="43"/>
  <c r="A21" i="43"/>
  <c r="E20" i="43"/>
  <c r="F20" i="43" s="1"/>
  <c r="H20" i="43"/>
  <c r="I20" i="43" s="1"/>
  <c r="E21" i="32" s="1"/>
  <c r="K24" i="41"/>
  <c r="K25" i="41" s="1"/>
  <c r="G25" i="30"/>
  <c r="H25" i="30" s="1"/>
  <c r="H26" i="30" s="1"/>
  <c r="K27" i="41" l="1"/>
  <c r="I24" i="40" s="1"/>
  <c r="H28" i="30"/>
  <c r="H29" i="30"/>
  <c r="K28" i="41"/>
  <c r="L24" i="40" s="1"/>
  <c r="D21" i="32"/>
  <c r="F21" i="32" s="1"/>
  <c r="K20" i="43"/>
  <c r="A22" i="43"/>
  <c r="H21" i="43"/>
  <c r="I21" i="43" s="1"/>
  <c r="E22" i="32" s="1"/>
  <c r="E21" i="43"/>
  <c r="F21" i="43" s="1"/>
  <c r="D13" i="52"/>
  <c r="H32" i="30" l="1"/>
  <c r="E24" i="29"/>
  <c r="E25" i="29" s="1"/>
  <c r="E33" i="29" s="1"/>
  <c r="E41" i="29" s="1"/>
  <c r="E92" i="29" s="1"/>
  <c r="E94" i="29" s="1"/>
  <c r="I25" i="40"/>
  <c r="I33" i="40" s="1"/>
  <c r="I41" i="40" s="1"/>
  <c r="I92" i="40" s="1"/>
  <c r="I94" i="40" s="1"/>
  <c r="F24" i="29"/>
  <c r="L25" i="40"/>
  <c r="U24" i="40"/>
  <c r="U25" i="40" s="1"/>
  <c r="U33" i="40" s="1"/>
  <c r="U41" i="40" s="1"/>
  <c r="U92" i="40" s="1"/>
  <c r="U96" i="40" s="1"/>
  <c r="D22" i="32"/>
  <c r="F22" i="32" s="1"/>
  <c r="K21" i="43"/>
  <c r="A23" i="43"/>
  <c r="H22" i="43"/>
  <c r="I22" i="43" s="1"/>
  <c r="E23" i="32" s="1"/>
  <c r="E22" i="43"/>
  <c r="F22" i="43" s="1"/>
  <c r="F19" i="22"/>
  <c r="X94" i="40" l="1"/>
  <c r="I96" i="40"/>
  <c r="E96" i="29"/>
  <c r="J94" i="29"/>
  <c r="K94" i="29" s="1"/>
  <c r="X24" i="40"/>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2" i="20"/>
  <c r="H28" i="20" s="1"/>
  <c r="H23" i="20"/>
  <c r="H24" i="20"/>
  <c r="H27" i="20" l="1"/>
  <c r="E23" i="2" s="1"/>
  <c r="E24" i="2" s="1"/>
  <c r="E32" i="2" s="1"/>
  <c r="F23" i="2"/>
  <c r="F24" i="2" s="1"/>
  <c r="J24" i="40"/>
  <c r="J25" i="40" s="1"/>
  <c r="J33" i="40" s="1"/>
  <c r="J41" i="40" s="1"/>
  <c r="G23" i="2"/>
  <c r="G24" i="2" s="1"/>
  <c r="M24" i="40"/>
  <c r="M25" i="40" s="1"/>
  <c r="M33" i="40" s="1"/>
  <c r="M41" i="40" s="1"/>
  <c r="M92" i="40" s="1"/>
  <c r="M96" i="40" s="1"/>
  <c r="H23" i="2"/>
  <c r="H24" i="2" s="1"/>
  <c r="P24" i="40"/>
  <c r="P25" i="40" s="1"/>
  <c r="P33" i="40" s="1"/>
  <c r="P41" i="40" s="1"/>
  <c r="P92" i="40" s="1"/>
  <c r="P96" i="40" s="1"/>
  <c r="H25" i="20"/>
  <c r="G24" i="40" l="1"/>
  <c r="S24" i="40" s="1"/>
  <c r="S25" i="40" s="1"/>
  <c r="S33" i="40" s="1"/>
  <c r="S41" i="40" s="1"/>
  <c r="S92" i="40" s="1"/>
  <c r="S96" i="40" s="1"/>
  <c r="J92" i="40"/>
  <c r="J96" i="40" s="1"/>
  <c r="J99" i="40" s="1"/>
  <c r="H31" i="20"/>
  <c r="E13" i="52"/>
  <c r="F13" i="52" s="1"/>
  <c r="I23" i="2"/>
  <c r="I24" i="2" s="1"/>
  <c r="I32" i="2" s="1"/>
  <c r="I40" i="2" s="1"/>
  <c r="H32" i="2"/>
  <c r="H40" i="2" s="1"/>
  <c r="G32" i="2"/>
  <c r="G40" i="2" s="1"/>
  <c r="F32" i="2"/>
  <c r="F40" i="2" s="1"/>
  <c r="G25" i="40" l="1"/>
  <c r="G33" i="40" s="1"/>
  <c r="J24" i="2"/>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<sst xmlns="http://schemas.openxmlformats.org/spreadsheetml/2006/main" count="3727" uniqueCount="975">
  <si>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</si>
  <si>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</si>
  <si>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</si>
  <si>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</si>
  <si>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</si>
  <si>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</si>
  <si>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</si>
  <si>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</si>
  <si>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</si>
  <si>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</si>
  <si>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</si>
  <si>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</si>
  <si>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</si>
  <si>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</si>
  <si>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</si>
  <si>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</si>
  <si>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</si>
  <si>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</si>
  <si>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</si>
  <si>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</si>
  <si>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</si>
  <si>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</si>
  <si>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</si>
  <si>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</si>
  <si>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</si>
  <si>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</si>
  <si>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</si>
  <si>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</si>
  <si>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</si>
  <si>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</si>
  <si>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</si>
  <si>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</si>
  <si>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</si>
  <si>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</si>
  <si>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</si>
  <si>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</si>
  <si>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</si>
  <si>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</si>
  <si>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</si>
  <si>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</si>
  <si>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</si>
  <si>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</si>
  <si>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</si>
  <si>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</si>
  <si>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</si>
  <si>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</si>
  <si>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</si>
  <si>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</si>
  <si>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</si>
  <si>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</si>
  <si>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</si>
  <si>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</si>
  <si>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</si>
  <si>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</si>
  <si>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</si>
  <si>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</si>
  <si>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</si>
  <si>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</si>
  <si>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</si>
  <si>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</si>
  <si>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</si>
  <si>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</si>
  <si>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</si>
  <si>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</si>
  <si>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</si>
  <si>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</si>
  <si>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</si>
  <si>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</si>
  <si>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</si>
  <si>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</si>
  <si>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</si>
  <si>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</si>
  <si>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</si>
  <si>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</si>
  <si>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</si>
  <si>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</si>
  <si>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</si>
  <si>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</si>
  <si>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</si>
  <si>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</si>
  <si>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</si>
  <si>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</si>
  <si>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</si>
  <si>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</si>
  <si>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</si>
  <si>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</si>
  <si>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</si>
  <si>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</si>
  <si>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</si>
  <si>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</si>
  <si>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</si>
  <si>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</si>
  <si>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</si>
  <si>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</si>
  <si>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</si>
  <si>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</si>
  <si>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</si>
  <si>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</si>
  <si>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</si>
  <si>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</si>
  <si>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</si>
  <si>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</si>
  <si>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</si>
  <si>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</si>
  <si>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</si>
  <si>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</si>
  <si>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</si>
  <si>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</si>
  <si>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</si>
  <si>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</si>
  <si>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</si>
  <si>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</si>
  <si>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</si>
  <si>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</si>
  <si>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</si>
  <si>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</si>
  <si>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</si>
  <si>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</si>
  <si>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</si>
  <si>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</si>
  <si>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</si>
  <si>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</si>
  <si>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</si>
  <si>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</si>
  <si>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</si>
  <si>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</si>
  <si>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</si>
  <si>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</si>
  <si>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</si>
  <si>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</si>
  <si>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</si>
  <si>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</si>
  <si>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</si>
  <si>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</si>
  <si>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</si>
  <si>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</si>
  <si>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</si>
  <si>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</si>
  <si>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</si>
  <si>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</si>
  <si>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</si>
  <si>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</si>
  <si>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</si>
  <si>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</si>
  <si>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</si>
  <si>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</si>
  <si>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</si>
  <si>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</si>
  <si>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</si>
  <si>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</si>
  <si>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</si>
  <si>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</si>
  <si>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</si>
  <si>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</si>
  <si>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</si>
  <si>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</si>
  <si>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</si>
  <si>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</si>
  <si>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</si>
  <si>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</si>
  <si>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</si>
  <si>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</si>
  <si>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</si>
  <si>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</si>
  <si>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</si>
  <si>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</si>
  <si>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</si>
  <si>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</si>
  <si>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</si>
  <si>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</si>
  <si>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</si>
  <si>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</si>
  <si>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</si>
  <si>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</si>
  <si>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</si>
  <si>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</si>
  <si>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</si>
  <si>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</si>
  <si>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</si>
  <si>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</si>
  <si>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</si>
  <si>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</si>
  <si>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</si>
  <si>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</si>
  <si>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</si>
  <si>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</si>
  <si>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</si>
  <si>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</si>
  <si>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</si>
  <si>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</si>
  <si>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</si>
  <si>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</si>
  <si>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</si>
  <si>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</si>
  <si>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</si>
  <si>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</si>
  <si>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</si>
  <si>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</si>
  <si>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</si>
  <si>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</si>
  <si>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</si>
  <si>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</si>
  <si>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</si>
  <si>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</si>
  <si>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</si>
  <si>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</si>
  <si>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</si>
  <si>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</si>
  <si>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</si>
  <si>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</si>
  <si>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</si>
  <si>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</si>
  <si>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</si>
  <si>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</si>
  <si>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</si>
  <si>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</si>
  <si>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</si>
  <si>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</si>
  <si>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</si>
  <si>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</si>
  <si>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</si>
  <si>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</si>
  <si>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</si>
  <si>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</si>
  <si>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</si>
  <si>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</si>
  <si>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</si>
  <si>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</si>
  <si>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</si>
  <si>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</si>
  <si>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</si>
  <si>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</si>
  <si>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</si>
  <si>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</si>
  <si>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</si>
  <si>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</si>
  <si>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</si>
  <si>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</si>
  <si>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</si>
  <si>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</si>
  <si>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</si>
  <si>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</si>
  <si>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</si>
  <si>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</si>
  <si>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</si>
  <si>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</si>
  <si>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</si>
  <si>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</si>
  <si>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</si>
  <si>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</si>
  <si>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</si>
  <si>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</si>
  <si>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</si>
  <si>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</si>
  <si>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</si>
  <si>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</si>
  <si>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</si>
  <si>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</si>
  <si>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</si>
  <si>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</si>
  <si>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</si>
  <si>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</si>
  <si>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</si>
  <si>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</si>
  <si>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</si>
  <si>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</si>
  <si>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</si>
  <si>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</si>
  <si>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</si>
  <si>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</si>
  <si>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</si>
  <si>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</si>
  <si>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</si>
  <si>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</si>
  <si>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</si>
  <si>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</si>
  <si>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</si>
  <si>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</si>
  <si>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</si>
  <si>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</si>
  <si>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</si>
  <si>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</si>
  <si>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</si>
  <si>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</si>
  <si>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</si>
  <si>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</si>
  <si>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</si>
  <si>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</si>
  <si>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</si>
  <si>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</si>
  <si>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</si>
  <si>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</si>
  <si>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</si>
  <si>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</si>
  <si>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</si>
  <si>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</si>
  <si>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</si>
  <si>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</si>
  <si>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</si>
  <si>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</si>
  <si>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</si>
  <si>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</si>
  <si>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</si>
  <si>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</si>
  <si>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</si>
  <si>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</si>
  <si>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</si>
  <si>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</si>
  <si>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</si>
  <si>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</si>
  <si>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</si>
  <si>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</si>
  <si>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</si>
  <si>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</si>
  <si>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</si>
  <si>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</si>
  <si>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</si>
  <si>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</si>
  <si>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</si>
  <si>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</si>
  <si>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</si>
  <si>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</si>
  <si>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</si>
  <si>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</si>
  <si>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</si>
  <si>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</si>
  <si>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</si>
  <si>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</si>
  <si>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</si>
  <si>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</si>
  <si>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</si>
  <si>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</si>
  <si>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</si>
  <si>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</si>
  <si>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</si>
  <si>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</si>
  <si>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</si>
  <si>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</si>
  <si>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</si>
  <si>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</si>
  <si>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</si>
  <si>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</si>
  <si>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</si>
  <si>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</si>
  <si>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</si>
  <si>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</si>
  <si>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</si>
  <si>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</si>
  <si>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</si>
  <si>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</si>
  <si>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</si>
  <si>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</si>
  <si>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</si>
  <si>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</si>
  <si>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</si>
  <si>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</si>
  <si>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</si>
  <si>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</si>
  <si>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</si>
  <si>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</si>
  <si>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</si>
  <si>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</si>
  <si>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</si>
  <si>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</si>
  <si>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</si>
  <si>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</si>
  <si>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</si>
  <si>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</si>
  <si>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</si>
  <si>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</si>
  <si>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</si>
  <si>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</si>
  <si>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</si>
  <si>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</si>
  <si>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</si>
  <si>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</si>
  <si>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</si>
  <si>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</si>
  <si>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</si>
  <si>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</si>
  <si>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</si>
  <si>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</si>
  <si>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</si>
  <si>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</si>
  <si>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</si>
  <si>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</si>
  <si>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</si>
  <si>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</si>
  <si>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</si>
  <si>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</si>
  <si>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</si>
  <si>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</si>
  <si>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</si>
  <si>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</si>
  <si>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</si>
  <si>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</si>
  <si>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</si>
  <si>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</si>
  <si>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</si>
  <si>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</si>
  <si>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</si>
  <si>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</si>
  <si>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</si>
  <si>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</si>
  <si>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</si>
  <si>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</si>
  <si>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</si>
  <si>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</si>
  <si>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</si>
  <si>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</si>
  <si>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</si>
  <si>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</si>
  <si>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</si>
  <si>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</si>
  <si>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</si>
  <si>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</si>
  <si>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</si>
  <si>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</si>
  <si>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</si>
  <si>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</si>
  <si>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</si>
  <si>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</si>
  <si>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</si>
  <si>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</si>
  <si>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</si>
  <si>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</si>
  <si>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</si>
  <si>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</si>
  <si>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</si>
  <si>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</si>
  <si>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</si>
  <si>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</si>
  <si>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</si>
  <si>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</si>
  <si>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</si>
  <si>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</si>
  <si>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</si>
  <si>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</si>
  <si>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</si>
  <si>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</si>
  <si>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</si>
  <si>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</si>
  <si>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</si>
  <si>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</si>
  <si>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</si>
  <si>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</si>
  <si>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</si>
  <si>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</si>
  <si>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</si>
  <si>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</si>
  <si>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</si>
  <si>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</si>
  <si>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</si>
  <si>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</si>
  <si>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</si>
  <si>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</si>
  <si>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</si>
  <si>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</si>
  <si>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</si>
  <si>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</si>
  <si>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</si>
  <si>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</si>
  <si>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</si>
  <si>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</si>
  <si>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</si>
  <si>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</si>
  <si>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</si>
  <si>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</si>
  <si>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</si>
  <si>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</si>
  <si>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</si>
  <si>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</si>
  <si>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</si>
  <si>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</si>
  <si>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</si>
  <si>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</si>
  <si>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</si>
  <si>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</si>
  <si>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</si>
  <si>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</si>
  <si>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</si>
  <si>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</si>
  <si>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</si>
  <si>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</si>
  <si>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</si>
  <si>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</si>
  <si>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</si>
  <si>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</si>
  <si>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</si>
  <si>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</si>
  <si>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</si>
  <si>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</si>
  <si>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</si>
  <si>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</si>
  <si>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</si>
  <si>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</si>
  <si>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</si>
  <si>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</si>
  <si>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</si>
  <si>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</si>
  <si>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</si>
  <si>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</si>
  <si>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</si>
  <si>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</si>
  <si>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</si>
  <si>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</si>
  <si>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</si>
  <si>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</si>
  <si>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</si>
  <si>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</si>
  <si>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</si>
  <si>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</si>
  <si>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</si>
  <si>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</si>
  <si>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</si>
  <si>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</si>
  <si>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</si>
  <si>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</si>
  <si>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</si>
  <si>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</si>
  <si>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</si>
  <si>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</si>
  <si>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</si>
  <si>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</si>
  <si>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</si>
  <si>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</si>
  <si>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</si>
  <si>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</si>
  <si>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</si>
  <si>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</si>
  <si>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</si>
  <si>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</si>
  <si>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</si>
  <si>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</si>
  <si>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</si>
  <si>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</si>
  <si>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</si>
  <si>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</si>
  <si>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</si>
  <si>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</si>
  <si>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</si>
  <si>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</si>
  <si>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</si>
  <si>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</si>
  <si>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</si>
  <si>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</si>
  <si>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</si>
  <si>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</si>
  <si>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</si>
  <si>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</si>
  <si>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</si>
  <si>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</si>
  <si>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</si>
  <si>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</si>
  <si>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</si>
  <si>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</si>
  <si>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</si>
  <si>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</si>
  <si>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</si>
  <si>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</si>
  <si>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</si>
  <si>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</si>
  <si>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</si>
  <si>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</si>
  <si>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</si>
  <si>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</si>
  <si>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</si>
  <si>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</si>
  <si>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</si>
  <si>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</si>
  <si>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</si>
  <si>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</si>
  <si>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</si>
  <si>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</si>
  <si>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</si>
  <si>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</si>
  <si>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</si>
  <si>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</si>
  <si>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</si>
  <si>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</si>
  <si>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</si>
  <si>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</si>
  <si>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</si>
  <si>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</si>
  <si>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</si>
  <si>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</si>
  <si>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</si>
  <si>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</si>
  <si>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</si>
  <si>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</si>
  <si>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</si>
  <si>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</si>
  <si>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</si>
  <si>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</si>
  <si>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</si>
  <si>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</si>
  <si>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</si>
  <si>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</si>
  <si>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</si>
  <si>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</si>
  <si>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</si>
  <si>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</si>
  <si>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</si>
  <si>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</si>
  <si>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</si>
  <si>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</si>
  <si>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</si>
  <si>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</si>
  <si>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</si>
  <si>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</si>
  <si>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</si>
  <si>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</si>
  <si>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</si>
  <si>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</si>
  <si>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</si>
  <si>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</si>
  <si>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</si>
  <si>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</si>
  <si>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</si>
  <si>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</si>
  <si>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</si>
  <si>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</si>
  <si>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</si>
  <si>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</si>
  <si>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</si>
  <si>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</si>
  <si>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</si>
  <si>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</si>
  <si>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</si>
  <si>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</si>
  <si>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</si>
  <si>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</si>
  <si>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</si>
  <si>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</si>
  <si>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</si>
  <si>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</si>
  <si>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</si>
  <si>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</si>
  <si>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</si>
  <si>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</si>
  <si>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</si>
  <si>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</si>
  <si>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</si>
  <si>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</si>
  <si>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</si>
  <si>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</si>
  <si>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</si>
  <si>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</si>
  <si>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</si>
  <si>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</si>
  <si>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</si>
  <si>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</si>
  <si>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</si>
  <si>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</si>
  <si>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</si>
  <si>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</si>
  <si>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</si>
  <si>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</si>
  <si>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</si>
  <si>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</si>
  <si>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</si>
  <si>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</si>
  <si>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</si>
  <si>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</si>
  <si>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</si>
  <si>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</si>
  <si>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</si>
  <si>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</si>
  <si>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</si>
  <si>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</si>
  <si>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</si>
  <si>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</si>
  <si>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</si>
  <si>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</si>
  <si>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</si>
  <si>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</si>
  <si>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</si>
  <si>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</si>
  <si>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</si>
  <si>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</si>
  <si>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</si>
  <si>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</si>
  <si>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</si>
  <si>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</si>
  <si>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</si>
  <si>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</si>
  <si>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</si>
  <si>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</si>
  <si>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</si>
  <si>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</si>
  <si>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</si>
  <si>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</si>
  <si>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</si>
  <si>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</si>
  <si>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</si>
  <si>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</si>
  <si>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</si>
  <si>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</si>
  <si>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</si>
  <si>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</si>
  <si>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</si>
  <si>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</si>
  <si>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</si>
  <si>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</si>
  <si>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</si>
  <si>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</si>
  <si>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</si>
  <si>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</si>
  <si>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</si>
  <si>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</si>
  <si>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</si>
  <si>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</si>
  <si>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</si>
  <si>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</si>
  <si>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</si>
  <si>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</si>
  <si>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</si>
  <si>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</si>
  <si>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</si>
  <si>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</si>
  <si>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</si>
  <si>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</si>
  <si>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</si>
  <si>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</si>
  <si>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</si>
  <si>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</si>
  <si>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</si>
  <si>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</si>
  <si>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</si>
  <si>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</si>
  <si>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</si>
  <si>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</si>
  <si>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</si>
  <si>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</si>
  <si>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</si>
  <si>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</si>
  <si>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</si>
  <si>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</si>
  <si>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</si>
  <si>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</si>
  <si>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</si>
  <si>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</si>
  <si>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</si>
  <si>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</si>
  <si>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</si>
  <si>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</si>
  <si>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</si>
  <si>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</si>
  <si>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</si>
  <si>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</si>
  <si>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</si>
  <si>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</si>
  <si>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</si>
  <si>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</si>
  <si>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</si>
  <si>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</si>
  <si>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</si>
  <si>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</si>
  <si>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</si>
  <si>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</si>
  <si>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</si>
  <si>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</si>
  <si>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</si>
  <si>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</si>
  <si>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</si>
  <si>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</si>
  <si>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</si>
  <si>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</si>
  <si>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</si>
  <si>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</si>
  <si>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</si>
  <si>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</si>
  <si>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</si>
  <si>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</si>
  <si>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</si>
  <si>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</si>
  <si>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</si>
  <si>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</si>
  <si>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</si>
  <si>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</si>
  <si>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</si>
  <si>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</si>
  <si>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</si>
  <si>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</si>
  <si>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</si>
  <si>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</si>
  <si>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</si>
  <si>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</si>
  <si>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</si>
  <si>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</si>
  <si>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</si>
  <si>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</si>
  <si>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</si>
  <si>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</si>
  <si>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</si>
  <si>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</si>
  <si>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</si>
  <si>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</si>
  <si>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</si>
  <si>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</si>
  <si>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</si>
  <si>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</si>
  <si>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</si>
  <si>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</si>
  <si>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</si>
  <si>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</si>
  <si>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</si>
  <si>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</si>
  <si>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</si>
  <si>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</si>
  <si>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</si>
  <si>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</si>
  <si>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</si>
  <si>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</si>
  <si>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</si>
  <si>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</si>
  <si>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</si>
  <si>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</si>
  <si>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</si>
  <si>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</si>
  <si>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</si>
  <si>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</si>
  <si>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</si>
  <si>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</si>
  <si>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</si>
  <si>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</si>
  <si>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</si>
  <si>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</si>
  <si>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</si>
  <si>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</si>
  <si>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</si>
  <si>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</si>
  <si>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</si>
  <si>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</si>
  <si>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</si>
  <si>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</si>
  <si>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</si>
  <si>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</si>
  <si>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</si>
  <si>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</si>
  <si>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</si>
  <si>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</si>
  <si>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</si>
  <si>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</si>
  <si>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</si>
  <si>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</si>
  <si>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</si>
  <si>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</si>
  <si>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</si>
  <si>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</si>
  <si>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</si>
  <si>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</si>
  <si>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</si>
  <si>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</si>
  <si>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</si>
  <si>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</si>
  <si>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</si>
  <si>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</si>
  <si>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</si>
  <si>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</si>
  <si>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</si>
  <si>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</si>
  <si>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</si>
  <si>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</si>
  <si>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</si>
  <si>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</si>
  <si>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</si>
  <si>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</si>
  <si>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</si>
  <si>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</si>
  <si>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</si>
  <si>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</si>
  <si>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</si>
  <si>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</si>
  <si>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</si>
  <si>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</si>
  <si>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</si>
  <si>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</si>
  <si>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</si>
  <si>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</si>
  <si>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</si>
  <si>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</si>
  <si>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</si>
  <si>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</si>
  <si>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</si>
  <si>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</si>
  <si>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</si>
  <si>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</si>
  <si>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</si>
  <si>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</si>
  <si>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</si>
  <si>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</si>
  <si>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</si>
  <si>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</si>
  <si>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</si>
  <si>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</si>
  <si>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</si>
  <si>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</si>
  <si>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</si>
  <si>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</si>
  <si>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</si>
  <si>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</si>
  <si>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</si>
  <si>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</si>
  <si>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</si>
  <si>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</si>
  <si>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</si>
  <si>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</si>
  <si>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</si>
  <si>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</si>
  <si>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</si>
  <si>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</si>
  <si>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</si>
  <si>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</si>
  <si>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</si>
  <si>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</si>
  <si>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</si>
  <si>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</si>
  <si>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</si>
  <si>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</si>
  <si>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</si>
  <si>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</si>
  <si>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</si>
  <si>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</si>
  <si>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</si>
  <si>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</si>
  <si>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</si>
  <si>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</si>
  <si>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</si>
  <si>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</si>
  <si>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</si>
  <si>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</si>
  <si>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</si>
  <si>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Diversus Health</t>
  </si>
  <si>
    <t>Properly Report PPS Encounters on Schedule 4</t>
  </si>
  <si>
    <t>Chief Executive Officer</t>
  </si>
  <si>
    <t>Chief Medical Officer</t>
  </si>
  <si>
    <t>Chief Clinical Officer</t>
  </si>
  <si>
    <t>Chief Operating Officer</t>
  </si>
  <si>
    <t>Chief Information Officer</t>
  </si>
  <si>
    <t>Indirect costs are allocated based on total direct costs of the various programs, according to the A&amp;A Guidelines.</t>
  </si>
  <si>
    <t>Allocation was based on weight of each program as a % of total direct costs.</t>
  </si>
  <si>
    <t>Rent</t>
  </si>
  <si>
    <t>Triple Net (NNN)</t>
  </si>
  <si>
    <t>Diversus Health Properties</t>
  </si>
  <si>
    <t>5040 - LTHS CRISIS WALK-IN</t>
  </si>
  <si>
    <t>5080 - LTHS RELIEF UNIT</t>
  </si>
  <si>
    <t>5060 - LTHS MEDCAP LIAISON</t>
  </si>
  <si>
    <t>Yes</t>
  </si>
  <si>
    <t>1881 - CENT CASE MANAGEMENT</t>
  </si>
  <si>
    <t xml:space="preserve">2565 - COMB SCHOOL BASED SERVICES  </t>
  </si>
  <si>
    <t>2575 - COMB ARPA SLFRF</t>
  </si>
  <si>
    <t>2578 - COMB BHA WORKFORCE</t>
  </si>
  <si>
    <t>2579 - COMB ZERO SUICIDE</t>
  </si>
  <si>
    <t>1882 - CENT INTERNS</t>
  </si>
  <si>
    <t>2561 - COMB BH IPS</t>
  </si>
  <si>
    <t>2566 - COMB IPS</t>
  </si>
  <si>
    <t>2574 - COMB SAMHSA CMHC</t>
  </si>
  <si>
    <t>2576 - COMB SAMHSA SERG</t>
  </si>
  <si>
    <t>3080 - CENT CLUBHOUSE</t>
  </si>
  <si>
    <t>3501 - RURL CLINICAL</t>
  </si>
  <si>
    <t>8001 - YOUTH AND FAMILY COUNSELING</t>
  </si>
  <si>
    <t>8002 - ADULT COUNSELING</t>
  </si>
  <si>
    <t>8003 - SDA (SAME DAY ACCESS)</t>
  </si>
  <si>
    <t>8010 - PSYCHIATRY</t>
  </si>
  <si>
    <t>8011 - OUTPATIENT NURSING</t>
  </si>
  <si>
    <t>8020 - ADDICTION SERVICES</t>
  </si>
  <si>
    <t>2040 - WRAP</t>
  </si>
  <si>
    <t>2562 - COMB OBHS</t>
  </si>
  <si>
    <t>2564 - COMB ASSERTIVE COMMUNITY TREATMENT (ACT)</t>
  </si>
  <si>
    <t>2570 - COMB ASCENT</t>
  </si>
  <si>
    <t>2577 - COMB CCHA HIOP</t>
  </si>
  <si>
    <t xml:space="preserve">5041 - ADULT IMH IOP      </t>
  </si>
  <si>
    <t>6041 - ADOLESCENT IOP</t>
  </si>
  <si>
    <t>Diversus Health Service ATU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</si>
</sst>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cellStyleXfs>
  <cellXfs count="576">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36" fillId="0" borderId="0" xfId="4" applyFont="1" applyAlignment="1">
      <alignment vertical="top"/>
    </xf>
    <xf numFmtId="169" fontId="36" fillId="0" borderId="0" xfId="4" applyNumberFormat="1" applyFont="1" applyAlignment="1">
      <alignment horizontal="center" vertical="top"/>
    </xf>
    <xf numFmtId="37" fontId="53" fillId="0" borderId="0" xfId="5" applyNumberFormat="1" applyFont="1" applyAlignment="1">
      <alignment horizontal="center" vertical="top"/>
    </xf>
    <xf numFmtId="0" fontId="0" fillId="5" borderId="1" xfId="0" applyFill="1" applyBorder="1"/>
    <xf numFmtId="0" fontId="0" fillId="5" borderId="1" xfId="0" applyFill="1" applyBorder="1" applyAlignment="1">
      <alignment horizontal="center"/>
    </xf>
    <xf numFmtId="43" fontId="0" fillId="5" borderId="6" xfId="0" applyNumberFormat="1" applyFill="1" applyBorder="1" applyAlignment="1" applyProtection="1">
      <alignment horizontal="left"/>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36" fillId="0" borderId="0" xfId="4" applyFont="1" applyAlignment="1">
      <alignment horizontal="center" vertical="top"/>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left"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0" xfId="0" applyFill="1" applyAlignment="1" applyProtection="1">
      <alignment horizontal="left"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43" fontId="0" fillId="5" borderId="6" xfId="0" applyNumberFormat="1" applyFill="1" applyBorder="1" applyAlignment="1" applyProtection="1">
      <alignment horizontal="left"/>
      <protection locked="0"/>
    </xf>
    <xf numFmtId="43" fontId="0" fillId="5" borderId="1" xfId="0" applyNumberFormat="1" applyFill="1" applyBorder="1" applyAlignment="1" applyProtection="1">
      <alignment horizontal="left"/>
      <protection locked="0"/>
    </xf>
    <xf numFmtId="43" fontId="0" fillId="5" borderId="7" xfId="0" applyNumberFormat="1" applyFill="1" applyBorder="1" applyAlignment="1" applyProtection="1">
      <alignment horizontal="left"/>
      <protection locked="0"/>
    </xf>
    <xf numFmtId="43" fontId="0" fillId="5" borderId="5" xfId="0" applyNumberFormat="1"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45">
    <cellStyle name="Comma" xfId="1" builtinId="3"/>
    <cellStyle name="Comma 2" xfId="10" xr:uid="{00000000-0005-0000-0000-000001000000}"/>
    <cellStyle name="Comma 2 2" xfId="23" xr:uid="{00000000-0005-0000-0000-000002000000}"/>
    <cellStyle name="Comma 2 2 2" xfId="36" xr:uid="{00000000-0005-0000-0000-000003000000}"/>
    <cellStyle name="Comma 2 2 3" xfId="32" xr:uid="{00000000-0005-0000-0000-000004000000}"/>
    <cellStyle name="Comma 2 3" xfId="21" xr:uid="{00000000-0005-0000-0000-000005000000}"/>
    <cellStyle name="Comma 2 4" xfId="42" xr:uid="{00000000-0005-0000-0000-000006000000}"/>
    <cellStyle name="Comma 3" xfId="18" xr:uid="{00000000-0005-0000-0000-000007000000}"/>
    <cellStyle name="Comma 3 2" xfId="24" xr:uid="{00000000-0005-0000-0000-000008000000}"/>
    <cellStyle name="Comma 3 3" xfId="35" xr:uid="{00000000-0005-0000-0000-000009000000}"/>
    <cellStyle name="Comma 3 4" xfId="33" xr:uid="{00000000-0005-0000-0000-00000A000000}"/>
    <cellStyle name="Comma 3 5" xfId="44" xr:uid="{00000000-0005-0000-0000-00000B000000}"/>
    <cellStyle name="Comma 4" xfId="22" xr:uid="{00000000-0005-0000-0000-00000C000000}"/>
    <cellStyle name="Comma 5" xfId="27" xr:uid="{00000000-0005-0000-0000-00000D000000}"/>
    <cellStyle name="Comma 6" xfId="29" xr:uid="{00000000-0005-0000-0000-00000E000000}"/>
    <cellStyle name="Comma 7" xfId="28" xr:uid="{00000000-0005-0000-0000-00000F000000}"/>
    <cellStyle name="Comma 8" xfId="38" xr:uid="{00000000-0005-0000-0000-000010000000}"/>
    <cellStyle name="Currency" xfId="2" builtinId="4"/>
    <cellStyle name="Currency 2" xfId="11" xr:uid="{00000000-0005-0000-0000-000012000000}"/>
    <cellStyle name="Currency 3" xfId="14" xr:uid="{00000000-0005-0000-0000-000013000000}"/>
    <cellStyle name="Currency 4" xfId="31" xr:uid="{00000000-0005-0000-0000-000014000000}"/>
    <cellStyle name="Currency 5" xfId="39" xr:uid="{00000000-0005-0000-0000-000015000000}"/>
    <cellStyle name="Normal" xfId="0" builtinId="0"/>
    <cellStyle name="Normal 2" xfId="5" xr:uid="{00000000-0005-0000-0000-000017000000}"/>
    <cellStyle name="Normal 2 2" xfId="13" xr:uid="{00000000-0005-0000-0000-000018000000}"/>
    <cellStyle name="Normal 3" xfId="4" xr:uid="{00000000-0005-0000-0000-000019000000}"/>
    <cellStyle name="Normal 3 2" xfId="9" xr:uid="{00000000-0005-0000-0000-00001A000000}"/>
    <cellStyle name="Normal 3 2 2" xfId="34" xr:uid="{00000000-0005-0000-0000-00001B000000}"/>
    <cellStyle name="Normal 3 3" xfId="16" xr:uid="{00000000-0005-0000-0000-00001C000000}"/>
    <cellStyle name="Normal 3 4" xfId="7" xr:uid="{00000000-0005-0000-0000-00001D000000}"/>
    <cellStyle name="Normal 3 5" xfId="41" xr:uid="{00000000-0005-0000-0000-00001E000000}"/>
    <cellStyle name="Normal 4" xfId="26" xr:uid="{00000000-0005-0000-0000-00001F000000}"/>
    <cellStyle name="Normal 5" xfId="30" xr:uid="{00000000-0005-0000-0000-000020000000}"/>
    <cellStyle name="Normal 6" xfId="37" xr:uid="{00000000-0005-0000-0000-000021000000}"/>
    <cellStyle name="Percent" xfId="3" builtinId="5"/>
    <cellStyle name="Percent 2" xfId="6" xr:uid="{00000000-0005-0000-0000-000023000000}"/>
    <cellStyle name="Percent 2 2" xfId="17" xr:uid="{00000000-0005-0000-0000-000024000000}"/>
    <cellStyle name="Percent 3" xfId="12" xr:uid="{00000000-0005-0000-0000-000025000000}"/>
    <cellStyle name="Percent 3 2" xfId="25" xr:uid="{00000000-0005-0000-0000-000026000000}"/>
    <cellStyle name="Percent 3 3" xfId="15" xr:uid="{00000000-0005-0000-0000-000027000000}"/>
    <cellStyle name="Percent 3 4" xfId="43" xr:uid="{00000000-0005-0000-0000-000028000000}"/>
    <cellStyle name="Percent 4" xfId="19" xr:uid="{00000000-0005-0000-0000-000029000000}"/>
    <cellStyle name="Percent 5" xfId="20" xr:uid="{00000000-0005-0000-0000-00002A000000}"/>
    <cellStyle name="Percent 6" xfId="40" xr:uid="{00000000-0005-0000-0000-00002B000000}"/>
    <cellStyle name="STYLE1" xfId="8" xr:uid="{00000000-0005-0000-0000-00002C00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08984375" defaultRowHeight="14.5" x14ac:dyDescent="0.35"/>
  <cols>
    <col min="1" max="1" width="3.6328125" style="78" customWidth="1"/>
    <col min="2" max="3" width="3.6328125" customWidth="1"/>
  </cols>
  <sheetData>
    <row r="1" spans="1:14" ht="18.5" x14ac:dyDescent="0.45">
      <c r="A1" s="393"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68" t="s">
        <v>726</v>
      </c>
      <c r="C8" s="468"/>
      <c r="D8" s="468"/>
      <c r="E8" s="468"/>
      <c r="F8" s="468"/>
      <c r="G8" s="468"/>
      <c r="H8" s="468"/>
      <c r="I8" s="468"/>
      <c r="J8" s="468"/>
      <c r="K8" s="468"/>
      <c r="L8" s="468"/>
      <c r="M8" s="468"/>
      <c r="N8" s="468"/>
    </row>
    <row r="9" spans="1:14" x14ac:dyDescent="0.35">
      <c r="B9" s="468"/>
      <c r="C9" s="468"/>
      <c r="D9" s="468"/>
      <c r="E9" s="468"/>
      <c r="F9" s="468"/>
      <c r="G9" s="468"/>
      <c r="H9" s="468"/>
      <c r="I9" s="468"/>
      <c r="J9" s="468"/>
      <c r="K9" s="468"/>
      <c r="L9" s="468"/>
      <c r="M9" s="468"/>
      <c r="N9" s="468"/>
    </row>
    <row r="10" spans="1:14" x14ac:dyDescent="0.35">
      <c r="B10" s="392"/>
      <c r="C10" s="392"/>
      <c r="D10" s="392"/>
      <c r="E10" s="392"/>
      <c r="F10" s="392"/>
      <c r="G10" s="392"/>
      <c r="H10" s="392"/>
      <c r="I10" s="392"/>
      <c r="J10" s="392"/>
      <c r="K10" s="392"/>
      <c r="L10" s="392"/>
      <c r="M10" s="392"/>
      <c r="N10" s="392"/>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68" t="s">
        <v>732</v>
      </c>
      <c r="D16" s="468"/>
      <c r="E16" s="468"/>
      <c r="F16" s="468"/>
      <c r="G16" s="468"/>
      <c r="H16" s="468"/>
      <c r="I16" s="468"/>
      <c r="J16" s="468"/>
      <c r="K16" s="468"/>
      <c r="L16" s="468"/>
      <c r="M16" s="468"/>
      <c r="N16" s="468"/>
    </row>
    <row r="17" spans="1:14" x14ac:dyDescent="0.35">
      <c r="B17" s="78"/>
      <c r="C17" s="468"/>
      <c r="D17" s="468"/>
      <c r="E17" s="468"/>
      <c r="F17" s="468"/>
      <c r="G17" s="468"/>
      <c r="H17" s="468"/>
      <c r="I17" s="468"/>
      <c r="J17" s="468"/>
      <c r="K17" s="468"/>
      <c r="L17" s="468"/>
      <c r="M17" s="468"/>
      <c r="N17" s="468"/>
    </row>
    <row r="18" spans="1:14" x14ac:dyDescent="0.35">
      <c r="B18" s="78"/>
      <c r="C18" s="392"/>
      <c r="D18" s="392"/>
      <c r="E18" s="392"/>
      <c r="F18" s="392"/>
      <c r="G18" s="392"/>
      <c r="H18" s="392"/>
      <c r="I18" s="392"/>
      <c r="J18" s="392"/>
      <c r="K18" s="392"/>
      <c r="L18" s="392"/>
      <c r="M18" s="392"/>
      <c r="N18" s="392"/>
    </row>
    <row r="19" spans="1:14" x14ac:dyDescent="0.35">
      <c r="A19" s="78">
        <v>3</v>
      </c>
      <c r="B19" t="s">
        <v>733</v>
      </c>
    </row>
    <row r="20" spans="1:14" x14ac:dyDescent="0.35">
      <c r="B20" s="78"/>
    </row>
    <row r="21" spans="1:14" ht="15" customHeight="1" x14ac:dyDescent="0.35">
      <c r="B21" s="78" t="s">
        <v>447</v>
      </c>
      <c r="C21" s="468" t="s">
        <v>932</v>
      </c>
      <c r="D21" s="468"/>
      <c r="E21" s="468"/>
      <c r="F21" s="468"/>
      <c r="G21" s="468"/>
      <c r="H21" s="468"/>
      <c r="I21" s="468"/>
      <c r="J21" s="468"/>
      <c r="K21" s="468"/>
      <c r="L21" s="468"/>
      <c r="M21" s="468"/>
      <c r="N21" s="468"/>
    </row>
    <row r="22" spans="1:14" ht="15" customHeight="1" x14ac:dyDescent="0.35">
      <c r="B22" s="78"/>
      <c r="C22" s="468"/>
      <c r="D22" s="468"/>
      <c r="E22" s="468"/>
      <c r="F22" s="468"/>
      <c r="G22" s="468"/>
      <c r="H22" s="468"/>
      <c r="I22" s="468"/>
      <c r="J22" s="468"/>
      <c r="K22" s="468"/>
      <c r="L22" s="468"/>
      <c r="M22" s="468"/>
      <c r="N22" s="468"/>
    </row>
    <row r="23" spans="1:14" x14ac:dyDescent="0.35">
      <c r="C23" s="468"/>
      <c r="D23" s="468"/>
      <c r="E23" s="468"/>
      <c r="F23" s="468"/>
      <c r="G23" s="468"/>
      <c r="H23" s="468"/>
      <c r="I23" s="468"/>
      <c r="J23" s="468"/>
      <c r="K23" s="468"/>
      <c r="L23" s="468"/>
      <c r="M23" s="468"/>
      <c r="N23" s="468"/>
    </row>
    <row r="24" spans="1:14" ht="15" customHeight="1" x14ac:dyDescent="0.35">
      <c r="B24" s="78" t="s">
        <v>448</v>
      </c>
      <c r="C24" s="468" t="s">
        <v>904</v>
      </c>
      <c r="D24" s="468"/>
      <c r="E24" s="468"/>
      <c r="F24" s="468"/>
      <c r="G24" s="468"/>
      <c r="H24" s="468"/>
      <c r="I24" s="468"/>
      <c r="J24" s="468"/>
      <c r="K24" s="468"/>
      <c r="L24" s="468"/>
      <c r="M24" s="468"/>
      <c r="N24" s="468"/>
    </row>
    <row r="25" spans="1:14" x14ac:dyDescent="0.35">
      <c r="C25" s="468"/>
      <c r="D25" s="468"/>
      <c r="E25" s="468"/>
      <c r="F25" s="468"/>
      <c r="G25" s="468"/>
      <c r="H25" s="468"/>
      <c r="I25" s="468"/>
      <c r="J25" s="468"/>
      <c r="K25" s="468"/>
      <c r="L25" s="468"/>
      <c r="M25" s="468"/>
      <c r="N25" s="468"/>
    </row>
    <row r="26" spans="1:14" x14ac:dyDescent="0.35">
      <c r="D26" s="392"/>
      <c r="E26" s="392"/>
      <c r="F26" s="392"/>
      <c r="G26" s="392"/>
      <c r="H26" s="392"/>
      <c r="I26" s="392"/>
      <c r="J26" s="392"/>
      <c r="K26" s="392"/>
      <c r="L26" s="392"/>
      <c r="M26" s="392"/>
      <c r="N26" s="392"/>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68" t="s">
        <v>736</v>
      </c>
      <c r="D30" s="468"/>
      <c r="E30" s="468"/>
      <c r="F30" s="468"/>
      <c r="G30" s="468"/>
      <c r="H30" s="468"/>
      <c r="I30" s="468"/>
      <c r="J30" s="468"/>
      <c r="K30" s="468"/>
      <c r="L30" s="468"/>
      <c r="M30" s="468"/>
      <c r="N30" s="468"/>
    </row>
    <row r="31" spans="1:14" x14ac:dyDescent="0.35">
      <c r="C31" s="468"/>
      <c r="D31" s="468"/>
      <c r="E31" s="468"/>
      <c r="F31" s="468"/>
      <c r="G31" s="468"/>
      <c r="H31" s="468"/>
      <c r="I31" s="468"/>
      <c r="J31" s="468"/>
      <c r="K31" s="468"/>
      <c r="L31" s="468"/>
      <c r="M31" s="468"/>
      <c r="N31" s="468"/>
    </row>
    <row r="32" spans="1:14" x14ac:dyDescent="0.35">
      <c r="C32" s="468"/>
      <c r="D32" s="468"/>
      <c r="E32" s="468"/>
      <c r="F32" s="468"/>
      <c r="G32" s="468"/>
      <c r="H32" s="468"/>
      <c r="I32" s="468"/>
      <c r="J32" s="468"/>
      <c r="K32" s="468"/>
      <c r="L32" s="468"/>
      <c r="M32" s="468"/>
      <c r="N32" s="468"/>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68" t="s">
        <v>738</v>
      </c>
      <c r="D36" s="468"/>
      <c r="E36" s="468"/>
      <c r="F36" s="468"/>
      <c r="G36" s="468"/>
      <c r="H36" s="468"/>
      <c r="I36" s="468"/>
      <c r="J36" s="468"/>
      <c r="K36" s="468"/>
      <c r="L36" s="468"/>
      <c r="M36" s="468"/>
      <c r="N36" s="468"/>
    </row>
    <row r="37" spans="1:14" x14ac:dyDescent="0.35">
      <c r="B37" s="78"/>
      <c r="C37" s="468"/>
      <c r="D37" s="468"/>
      <c r="E37" s="468"/>
      <c r="F37" s="468"/>
      <c r="G37" s="468"/>
      <c r="H37" s="468"/>
      <c r="I37" s="468"/>
      <c r="J37" s="468"/>
      <c r="K37" s="468"/>
      <c r="L37" s="468"/>
      <c r="M37" s="468"/>
      <c r="N37" s="468"/>
    </row>
    <row r="38" spans="1:14" x14ac:dyDescent="0.35">
      <c r="B38" s="78"/>
      <c r="C38" s="468"/>
      <c r="D38" s="468"/>
      <c r="E38" s="468"/>
      <c r="F38" s="468"/>
      <c r="G38" s="468"/>
      <c r="H38" s="468"/>
      <c r="I38" s="468"/>
      <c r="J38" s="468"/>
      <c r="K38" s="468"/>
      <c r="L38" s="468"/>
      <c r="M38" s="468"/>
      <c r="N38" s="468"/>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68" t="s">
        <v>914</v>
      </c>
      <c r="D46" s="468"/>
      <c r="E46" s="468"/>
      <c r="F46" s="468"/>
      <c r="G46" s="468"/>
      <c r="H46" s="468"/>
      <c r="I46" s="468"/>
      <c r="J46" s="468"/>
      <c r="K46" s="468"/>
      <c r="L46" s="468"/>
      <c r="M46" s="468"/>
      <c r="N46" s="468"/>
    </row>
    <row r="47" spans="1:14" x14ac:dyDescent="0.35">
      <c r="C47" s="468"/>
      <c r="D47" s="468"/>
      <c r="E47" s="468"/>
      <c r="F47" s="468"/>
      <c r="G47" s="468"/>
      <c r="H47" s="468"/>
      <c r="I47" s="468"/>
      <c r="J47" s="468"/>
      <c r="K47" s="468"/>
      <c r="L47" s="468"/>
      <c r="M47" s="468"/>
      <c r="N47" s="468"/>
    </row>
    <row r="48" spans="1:14" x14ac:dyDescent="0.35">
      <c r="C48" s="468"/>
      <c r="D48" s="468"/>
      <c r="E48" s="468"/>
      <c r="F48" s="468"/>
      <c r="G48" s="468"/>
      <c r="H48" s="468"/>
      <c r="I48" s="468"/>
      <c r="J48" s="468"/>
      <c r="K48" s="468"/>
      <c r="L48" s="468"/>
      <c r="M48" s="468"/>
      <c r="N48" s="468"/>
    </row>
    <row r="49" spans="1:14" x14ac:dyDescent="0.35">
      <c r="B49" s="78" t="s">
        <v>448</v>
      </c>
      <c r="C49" s="468" t="s">
        <v>915</v>
      </c>
      <c r="D49" s="468"/>
      <c r="E49" s="468"/>
      <c r="F49" s="468"/>
      <c r="G49" s="468"/>
      <c r="H49" s="468"/>
      <c r="I49" s="468"/>
      <c r="J49" s="468"/>
      <c r="K49" s="468"/>
      <c r="L49" s="468"/>
      <c r="M49" s="468"/>
      <c r="N49" s="468"/>
    </row>
    <row r="50" spans="1:14" x14ac:dyDescent="0.35">
      <c r="B50" s="78"/>
      <c r="C50" s="468"/>
      <c r="D50" s="468"/>
      <c r="E50" s="468"/>
      <c r="F50" s="468"/>
      <c r="G50" s="468"/>
      <c r="H50" s="468"/>
      <c r="I50" s="468"/>
      <c r="J50" s="468"/>
      <c r="K50" s="468"/>
      <c r="L50" s="468"/>
      <c r="M50" s="468"/>
      <c r="N50" s="468"/>
    </row>
    <row r="51" spans="1:14" x14ac:dyDescent="0.35">
      <c r="C51" s="468"/>
      <c r="D51" s="468"/>
      <c r="E51" s="468"/>
      <c r="F51" s="468"/>
      <c r="G51" s="468"/>
      <c r="H51" s="468"/>
      <c r="I51" s="468"/>
      <c r="J51" s="468"/>
      <c r="K51" s="468"/>
      <c r="L51" s="468"/>
      <c r="M51" s="468"/>
      <c r="N51" s="468"/>
    </row>
    <row r="52" spans="1:14" x14ac:dyDescent="0.35">
      <c r="B52" s="78" t="s">
        <v>449</v>
      </c>
      <c r="C52" s="468" t="s">
        <v>742</v>
      </c>
      <c r="D52" s="468"/>
      <c r="E52" s="468"/>
      <c r="F52" s="468"/>
      <c r="G52" s="468"/>
      <c r="H52" s="468"/>
      <c r="I52" s="468"/>
      <c r="J52" s="468"/>
      <c r="K52" s="468"/>
      <c r="L52" s="468"/>
      <c r="M52" s="468"/>
      <c r="N52" s="468"/>
    </row>
    <row r="53" spans="1:14" x14ac:dyDescent="0.35">
      <c r="C53" s="468"/>
      <c r="D53" s="468"/>
      <c r="E53" s="468"/>
      <c r="F53" s="468"/>
      <c r="G53" s="468"/>
      <c r="H53" s="468"/>
      <c r="I53" s="468"/>
      <c r="J53" s="468"/>
      <c r="K53" s="468"/>
      <c r="L53" s="468"/>
      <c r="M53" s="468"/>
      <c r="N53" s="468"/>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68" t="s">
        <v>749</v>
      </c>
      <c r="D57" s="468"/>
      <c r="E57" s="468"/>
      <c r="F57" s="468"/>
      <c r="G57" s="468"/>
      <c r="H57" s="468"/>
      <c r="I57" s="468"/>
      <c r="J57" s="468"/>
      <c r="K57" s="468"/>
      <c r="L57" s="468"/>
      <c r="M57" s="468"/>
      <c r="N57" s="468"/>
    </row>
    <row r="58" spans="1:14" x14ac:dyDescent="0.35">
      <c r="B58" s="78"/>
      <c r="C58" s="468"/>
      <c r="D58" s="468"/>
      <c r="E58" s="468"/>
      <c r="F58" s="468"/>
      <c r="G58" s="468"/>
      <c r="H58" s="468"/>
      <c r="I58" s="468"/>
      <c r="J58" s="468"/>
      <c r="K58" s="468"/>
      <c r="L58" s="468"/>
      <c r="M58" s="468"/>
      <c r="N58" s="468"/>
    </row>
    <row r="59" spans="1:14" x14ac:dyDescent="0.35">
      <c r="C59" s="468"/>
      <c r="D59" s="468"/>
      <c r="E59" s="468"/>
      <c r="F59" s="468"/>
      <c r="G59" s="468"/>
      <c r="H59" s="468"/>
      <c r="I59" s="468"/>
      <c r="J59" s="468"/>
      <c r="K59" s="468"/>
      <c r="L59" s="468"/>
      <c r="M59" s="468"/>
      <c r="N59" s="468"/>
    </row>
    <row r="60" spans="1:14" x14ac:dyDescent="0.35">
      <c r="B60" s="78" t="s">
        <v>448</v>
      </c>
      <c r="C60" s="468" t="s">
        <v>744</v>
      </c>
      <c r="D60" s="468"/>
      <c r="E60" s="468"/>
      <c r="F60" s="468"/>
      <c r="G60" s="468"/>
      <c r="H60" s="468"/>
      <c r="I60" s="468"/>
      <c r="J60" s="468"/>
      <c r="K60" s="468"/>
      <c r="L60" s="468"/>
      <c r="M60" s="468"/>
      <c r="N60" s="468"/>
    </row>
    <row r="61" spans="1:14" x14ac:dyDescent="0.35">
      <c r="B61" s="78"/>
      <c r="C61" s="468"/>
      <c r="D61" s="468"/>
      <c r="E61" s="468"/>
      <c r="F61" s="468"/>
      <c r="G61" s="468"/>
      <c r="H61" s="468"/>
      <c r="I61" s="468"/>
      <c r="J61" s="468"/>
      <c r="K61" s="468"/>
      <c r="L61" s="468"/>
      <c r="M61" s="468"/>
      <c r="N61" s="468"/>
    </row>
    <row r="62" spans="1:14" x14ac:dyDescent="0.35">
      <c r="B62" s="78"/>
      <c r="C62" s="468"/>
      <c r="D62" s="468"/>
      <c r="E62" s="468"/>
      <c r="F62" s="468"/>
      <c r="G62" s="468"/>
      <c r="H62" s="468"/>
      <c r="I62" s="468"/>
      <c r="J62" s="468"/>
      <c r="K62" s="468"/>
      <c r="L62" s="468"/>
      <c r="M62" s="468"/>
      <c r="N62" s="468"/>
    </row>
    <row r="63" spans="1:14" x14ac:dyDescent="0.35">
      <c r="C63" s="468"/>
      <c r="D63" s="468"/>
      <c r="E63" s="468"/>
      <c r="F63" s="468"/>
      <c r="G63" s="468"/>
      <c r="H63" s="468"/>
      <c r="I63" s="468"/>
      <c r="J63" s="468"/>
      <c r="K63" s="468"/>
      <c r="L63" s="468"/>
      <c r="M63" s="468"/>
      <c r="N63" s="468"/>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69" t="s">
        <v>746</v>
      </c>
      <c r="C67" s="469"/>
      <c r="D67" s="469"/>
      <c r="E67" s="469"/>
      <c r="F67" s="469"/>
      <c r="G67" s="469"/>
      <c r="H67" s="469"/>
      <c r="I67" s="469"/>
      <c r="J67" s="469"/>
      <c r="K67" s="469"/>
      <c r="L67" s="469"/>
      <c r="M67" s="469"/>
      <c r="N67" s="469"/>
    </row>
    <row r="68" spans="1:14" x14ac:dyDescent="0.35">
      <c r="B68" s="469"/>
      <c r="C68" s="469"/>
      <c r="D68" s="469"/>
      <c r="E68" s="469"/>
      <c r="F68" s="469"/>
      <c r="G68" s="469"/>
      <c r="H68" s="469"/>
      <c r="I68" s="469"/>
      <c r="J68" s="469"/>
      <c r="K68" s="469"/>
      <c r="L68" s="469"/>
      <c r="M68" s="469"/>
      <c r="N68" s="469"/>
    </row>
    <row r="69" spans="1:14" x14ac:dyDescent="0.35">
      <c r="B69" s="469"/>
      <c r="C69" s="469"/>
      <c r="D69" s="469"/>
      <c r="E69" s="469"/>
      <c r="F69" s="469"/>
      <c r="G69" s="469"/>
      <c r="H69" s="469"/>
      <c r="I69" s="469"/>
      <c r="J69" s="469"/>
      <c r="K69" s="469"/>
      <c r="L69" s="469"/>
      <c r="M69" s="469"/>
      <c r="N69" s="469"/>
    </row>
    <row r="70" spans="1:14" x14ac:dyDescent="0.35">
      <c r="B70" s="469"/>
      <c r="C70" s="469"/>
      <c r="D70" s="469"/>
      <c r="E70" s="469"/>
      <c r="F70" s="469"/>
      <c r="G70" s="469"/>
      <c r="H70" s="469"/>
      <c r="I70" s="469"/>
      <c r="J70" s="469"/>
      <c r="K70" s="469"/>
      <c r="L70" s="469"/>
      <c r="M70" s="469"/>
      <c r="N70" s="469"/>
    </row>
    <row r="71" spans="1:14" x14ac:dyDescent="0.35">
      <c r="B71" s="410"/>
      <c r="C71" s="410"/>
      <c r="D71" s="410"/>
      <c r="E71" s="410"/>
      <c r="F71" s="410"/>
      <c r="G71" s="410"/>
      <c r="H71" s="410"/>
      <c r="I71" s="410"/>
      <c r="J71" s="410"/>
      <c r="K71" s="410"/>
      <c r="L71" s="410"/>
      <c r="M71" s="410"/>
      <c r="N71" s="410"/>
    </row>
    <row r="72" spans="1:14" x14ac:dyDescent="0.35">
      <c r="A72" s="78">
        <v>11</v>
      </c>
      <c r="B72" t="s">
        <v>747</v>
      </c>
    </row>
    <row r="74" spans="1:14" x14ac:dyDescent="0.35">
      <c r="A74" s="78">
        <v>12</v>
      </c>
      <c r="B74" s="468" t="s">
        <v>748</v>
      </c>
      <c r="C74" s="468"/>
      <c r="D74" s="468"/>
      <c r="E74" s="468"/>
      <c r="F74" s="468"/>
      <c r="G74" s="468"/>
      <c r="H74" s="468"/>
      <c r="I74" s="468"/>
      <c r="J74" s="468"/>
      <c r="K74" s="468"/>
      <c r="L74" s="468"/>
      <c r="M74" s="468"/>
      <c r="N74" s="468"/>
    </row>
    <row r="75" spans="1:14" x14ac:dyDescent="0.35">
      <c r="B75" s="468"/>
      <c r="C75" s="468"/>
      <c r="D75" s="468"/>
      <c r="E75" s="468"/>
      <c r="F75" s="468"/>
      <c r="G75" s="468"/>
      <c r="H75" s="468"/>
      <c r="I75" s="468"/>
      <c r="J75" s="468"/>
      <c r="K75" s="468"/>
      <c r="L75" s="468"/>
      <c r="M75" s="468"/>
      <c r="N75" s="468"/>
    </row>
    <row r="76" spans="1:14" x14ac:dyDescent="0.35">
      <c r="B76" s="468"/>
      <c r="C76" s="468"/>
      <c r="D76" s="468"/>
      <c r="E76" s="468"/>
      <c r="F76" s="468"/>
      <c r="G76" s="468"/>
      <c r="H76" s="468"/>
      <c r="I76" s="468"/>
      <c r="J76" s="468"/>
      <c r="K76" s="468"/>
      <c r="L76" s="468"/>
      <c r="M76" s="468"/>
      <c r="N76" s="468"/>
    </row>
    <row r="78" spans="1:14" x14ac:dyDescent="0.35">
      <c r="B78" s="78" t="s">
        <v>447</v>
      </c>
      <c r="D78" s="469" t="s">
        <v>916</v>
      </c>
      <c r="E78" s="469"/>
      <c r="F78" s="469"/>
      <c r="G78" s="469"/>
      <c r="H78" s="469"/>
      <c r="I78" s="469"/>
      <c r="J78" s="469"/>
      <c r="K78" s="469"/>
      <c r="L78" s="469"/>
      <c r="M78" s="469"/>
      <c r="N78" s="469"/>
    </row>
    <row r="79" spans="1:14" x14ac:dyDescent="0.35">
      <c r="D79" s="469"/>
      <c r="E79" s="469"/>
      <c r="F79" s="469"/>
      <c r="G79" s="469"/>
      <c r="H79" s="469"/>
      <c r="I79" s="469"/>
      <c r="J79" s="469"/>
      <c r="K79" s="469"/>
      <c r="L79" s="469"/>
      <c r="M79" s="469"/>
      <c r="N79" s="469"/>
    </row>
    <row r="81" spans="2:14" x14ac:dyDescent="0.35">
      <c r="B81" s="78" t="s">
        <v>448</v>
      </c>
      <c r="D81" s="469" t="s">
        <v>917</v>
      </c>
      <c r="E81" s="469"/>
      <c r="F81" s="469"/>
      <c r="G81" s="469"/>
      <c r="H81" s="469"/>
      <c r="I81" s="469"/>
      <c r="J81" s="469"/>
      <c r="K81" s="469"/>
      <c r="L81" s="469"/>
      <c r="M81" s="469"/>
      <c r="N81" s="469"/>
    </row>
    <row r="82" spans="2:14" x14ac:dyDescent="0.35">
      <c r="B82" s="78"/>
      <c r="D82" s="469"/>
      <c r="E82" s="469"/>
      <c r="F82" s="469"/>
      <c r="G82" s="469"/>
      <c r="H82" s="469"/>
      <c r="I82" s="469"/>
      <c r="J82" s="469"/>
      <c r="K82" s="469"/>
      <c r="L82" s="469"/>
      <c r="M82" s="469"/>
      <c r="N82" s="469"/>
    </row>
    <row r="83" spans="2:14" x14ac:dyDescent="0.35">
      <c r="D83" s="469"/>
      <c r="E83" s="469"/>
      <c r="F83" s="469"/>
      <c r="G83" s="469"/>
      <c r="H83" s="469"/>
      <c r="I83" s="469"/>
      <c r="J83" s="469"/>
      <c r="K83" s="469"/>
      <c r="L83" s="469"/>
      <c r="M83" s="469"/>
      <c r="N83" s="469"/>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D6" sqref="D6"/>
    </sheetView>
  </sheetViews>
  <sheetFormatPr defaultColWidth="9.08984375" defaultRowHeight="14.5" x14ac:dyDescent="0.35"/>
  <cols>
    <col min="1" max="1" width="16.08984375" customWidth="1"/>
    <col min="2" max="2" width="9.90625" customWidth="1"/>
    <col min="3" max="3" width="61" customWidth="1"/>
    <col min="4" max="6" width="18.08984375" customWidth="1"/>
    <col min="7" max="7" width="5.08984375" customWidth="1"/>
    <col min="8" max="8" width="18.453125" customWidth="1"/>
    <col min="27" max="27" width="9.089843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933</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46798640.54999999</v>
      </c>
      <c r="E12" s="248">
        <f>'As-Filed Schedule 1'!J95</f>
        <v>46798640.54999999</v>
      </c>
      <c r="F12" s="248">
        <f t="shared" ref="F12:F32" si="0">D12-E12</f>
        <v>0</v>
      </c>
    </row>
    <row r="13" spans="1:27" x14ac:dyDescent="0.35">
      <c r="A13" t="s">
        <v>504</v>
      </c>
      <c r="D13" s="248">
        <f>'Adjusted Schedule 1A'!H26</f>
        <v>111445.75961817428</v>
      </c>
      <c r="E13" s="248">
        <f>'As-Filed Schedule 1A'!H25</f>
        <v>111445.75961817428</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4981605.6232740656</v>
      </c>
      <c r="E15" s="248">
        <f>'As-Filed Schedule 2A'!F75</f>
        <v>4981605.6232740656</v>
      </c>
      <c r="F15" s="248">
        <f t="shared" si="0"/>
        <v>0</v>
      </c>
    </row>
    <row r="16" spans="1:27" x14ac:dyDescent="0.35">
      <c r="A16" t="s">
        <v>507</v>
      </c>
      <c r="D16" s="248">
        <f>'Adjusted Schedule 2B'!F76</f>
        <v>4540267.2381445207</v>
      </c>
      <c r="E16" s="248">
        <f>'As-Filed Schedule 2B'!F75</f>
        <v>4540267.2381445207</v>
      </c>
      <c r="F16" s="248">
        <f t="shared" si="0"/>
        <v>0</v>
      </c>
    </row>
    <row r="17" spans="1:6" x14ac:dyDescent="0.35">
      <c r="A17" t="s">
        <v>508</v>
      </c>
      <c r="D17" s="248">
        <f>'Adjusted Schedule 2C'!F76</f>
        <v>23681050.312630981</v>
      </c>
      <c r="E17" s="248">
        <f>'As-Filed Schedule 2C'!F75</f>
        <v>23681050.312630981</v>
      </c>
      <c r="F17" s="248">
        <f t="shared" si="0"/>
        <v>0</v>
      </c>
    </row>
    <row r="18" spans="1:6" x14ac:dyDescent="0.35">
      <c r="A18" t="s">
        <v>509</v>
      </c>
      <c r="D18" s="248">
        <f>'Adjusted Schedule 2D'!$F$76</f>
        <v>5843653.0093247658</v>
      </c>
      <c r="E18" s="248">
        <f>'As-Filed Schedule 2D'!$F$75</f>
        <v>5843653.0093247658</v>
      </c>
      <c r="F18" s="248">
        <f>D18-E18</f>
        <v>0</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471" t="s">
        <v>905</v>
      </c>
      <c r="B27" s="471"/>
      <c r="C27" s="471"/>
      <c r="D27" s="248">
        <f>'Adjusted Schedule 2M'!$F$76</f>
        <v>0</v>
      </c>
      <c r="E27" s="248">
        <f>'As-Filed Schedule 2M'!$F$75</f>
        <v>0</v>
      </c>
      <c r="F27" s="248">
        <f t="shared" si="1"/>
        <v>0</v>
      </c>
    </row>
    <row r="28" spans="1:6" x14ac:dyDescent="0.35">
      <c r="A28" s="100" t="s">
        <v>510</v>
      </c>
      <c r="D28" s="13">
        <f>'Adjusted Schedule 3'!K168</f>
        <v>3151</v>
      </c>
      <c r="E28" s="13">
        <f>'As-Filed Schedule 3'!K167</f>
        <v>3151</v>
      </c>
      <c r="F28" s="13">
        <f t="shared" si="0"/>
        <v>0</v>
      </c>
    </row>
    <row r="29" spans="1:6" x14ac:dyDescent="0.35">
      <c r="A29" s="100" t="s">
        <v>511</v>
      </c>
      <c r="D29" s="248">
        <f>'Adjusted Schedule 3'!M168</f>
        <v>5773346.1970490608</v>
      </c>
      <c r="E29" s="248">
        <f>'As-Filed Schedule 3'!M167</f>
        <v>5773346.1970490608</v>
      </c>
      <c r="F29" s="248">
        <f t="shared" si="0"/>
        <v>0</v>
      </c>
    </row>
    <row r="30" spans="1:6" x14ac:dyDescent="0.35">
      <c r="A30" t="s">
        <v>512</v>
      </c>
      <c r="D30" s="13">
        <f>'Adjusted Schedule 4'!D198</f>
        <v>36616</v>
      </c>
      <c r="E30" s="13">
        <f>'As-Filed Schedule 4'!D197</f>
        <v>36616</v>
      </c>
      <c r="F30" s="13">
        <f t="shared" si="0"/>
        <v>0</v>
      </c>
    </row>
    <row r="31" spans="1:6" x14ac:dyDescent="0.35">
      <c r="A31" t="s">
        <v>513</v>
      </c>
      <c r="D31" s="13">
        <f>'Adjusted Schedule 4'!H198</f>
        <v>229211</v>
      </c>
      <c r="E31" s="13">
        <f>'As-Filed Schedule 4'!H197</f>
        <v>229211</v>
      </c>
      <c r="F31" s="13">
        <f t="shared" si="0"/>
        <v>0</v>
      </c>
    </row>
    <row r="32" spans="1:6" x14ac:dyDescent="0.35">
      <c r="A32" t="s">
        <v>927</v>
      </c>
      <c r="D32" s="456">
        <f>'Adjusted Schedule 4'!K9</f>
        <v>138232</v>
      </c>
      <c r="E32" s="456">
        <f>'As-Filed Schedule 4'!K8</f>
        <v>0</v>
      </c>
      <c r="F32" s="13">
        <f t="shared" si="0"/>
        <v>138232</v>
      </c>
    </row>
    <row r="33" spans="1:6" x14ac:dyDescent="0.35">
      <c r="D33" s="249"/>
      <c r="E33" s="249"/>
      <c r="F33" s="249"/>
    </row>
    <row r="34" spans="1:6" x14ac:dyDescent="0.35">
      <c r="A34" s="247" t="s">
        <v>514</v>
      </c>
      <c r="D34" s="249"/>
      <c r="E34" s="249"/>
      <c r="F34" s="249"/>
    </row>
    <row r="35" spans="1:6" x14ac:dyDescent="0.35">
      <c r="A35" t="s">
        <v>515</v>
      </c>
      <c r="D35" s="248">
        <f>'Adjusted Schedule 1'!F96</f>
        <v>36037838.667005494</v>
      </c>
      <c r="E35" s="248">
        <f>'As-Filed Schedule 1'!F95</f>
        <v>36037838.667005494</v>
      </c>
      <c r="F35" s="248">
        <f>D35-E35</f>
        <v>0</v>
      </c>
    </row>
    <row r="36" spans="1:6" x14ac:dyDescent="0.35">
      <c r="A36" s="100" t="s">
        <v>516</v>
      </c>
      <c r="D36" s="248">
        <f>'Adjusted Schedule 4'!D10</f>
        <v>0</v>
      </c>
      <c r="E36" s="248">
        <f>'As-Filed Schedule 4'!D9</f>
        <v>0</v>
      </c>
      <c r="F36" s="248">
        <f>D36-E36</f>
        <v>0</v>
      </c>
    </row>
    <row r="37" spans="1:6" x14ac:dyDescent="0.35">
      <c r="A37" t="s">
        <v>517</v>
      </c>
      <c r="D37" s="13">
        <f>'Adjusted Schedule 4'!F198</f>
        <v>36135.040000000001</v>
      </c>
      <c r="E37" s="13">
        <f>'As-Filed Schedule 4'!F8</f>
        <v>36135.040000000001</v>
      </c>
      <c r="F37" s="13">
        <f>D37-E37</f>
        <v>0</v>
      </c>
    </row>
    <row r="38" spans="1:6" x14ac:dyDescent="0.35">
      <c r="A38" t="s">
        <v>518</v>
      </c>
      <c r="D38" s="250">
        <f>'Adjusted Schedule 4'!J198</f>
        <v>350327.89999999997</v>
      </c>
      <c r="E38" s="250">
        <f>'As-Filed Schedule 4'!F9</f>
        <v>350327.89999999997</v>
      </c>
      <c r="F38" s="250">
        <f>D38-E38</f>
        <v>0</v>
      </c>
    </row>
    <row r="39" spans="1:6" s="1" customFormat="1" x14ac:dyDescent="0.35">
      <c r="A39" s="1" t="s">
        <v>519</v>
      </c>
      <c r="D39" s="251">
        <f>'Adjusted Schedule 4'!F13</f>
        <v>93.250438624219697</v>
      </c>
      <c r="E39" s="251">
        <f>'As-Filed Schedule 4'!F12</f>
        <v>93.250438624219697</v>
      </c>
      <c r="F39" s="252">
        <f>D39-E39</f>
        <v>0</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36037838.667005494</v>
      </c>
      <c r="E42" s="248">
        <f>'As-Filed Schedule 1'!F95</f>
        <v>36037838.667005494</v>
      </c>
      <c r="F42" s="248">
        <f>D42-E42</f>
        <v>0</v>
      </c>
    </row>
    <row r="43" spans="1:6" x14ac:dyDescent="0.35">
      <c r="A43" s="100" t="s">
        <v>919</v>
      </c>
      <c r="D43" s="248">
        <f>'Adjusted Schedule 4'!I10</f>
        <v>0</v>
      </c>
      <c r="E43" s="248">
        <f>'As-Filed Schedule 4'!I9</f>
        <v>0</v>
      </c>
      <c r="F43" s="248">
        <f>D43-E43</f>
        <v>0</v>
      </c>
    </row>
    <row r="44" spans="1:6" x14ac:dyDescent="0.35">
      <c r="A44" t="s">
        <v>920</v>
      </c>
      <c r="D44" s="250">
        <f>'Adjusted Schedule 4'!K9</f>
        <v>138232</v>
      </c>
      <c r="E44" s="250">
        <f>'As-Filed Schedule 4'!K8</f>
        <v>0</v>
      </c>
      <c r="F44" s="250">
        <f>D44-E44</f>
        <v>138232</v>
      </c>
    </row>
    <row r="45" spans="1:6" s="1" customFormat="1" x14ac:dyDescent="0.35">
      <c r="A45" s="1" t="s">
        <v>921</v>
      </c>
      <c r="D45" s="251">
        <f>'Adjusted Schedule 4'!K13</f>
        <v>260.70547099807203</v>
      </c>
      <c r="E45" s="251" t="e">
        <f>'As-Filed Schedule 4'!K12</f>
        <v>#DIV/0!</v>
      </c>
      <c r="F45" s="252" t="e">
        <f>D45-E45</f>
        <v>#DIV/0!</v>
      </c>
    </row>
    <row r="46" spans="1:6" s="1" customFormat="1" x14ac:dyDescent="0.35">
      <c r="D46" s="251"/>
      <c r="E46" s="251"/>
      <c r="F46" s="252"/>
    </row>
    <row r="47" spans="1:6" x14ac:dyDescent="0.35">
      <c r="A47" s="247" t="s">
        <v>520</v>
      </c>
    </row>
    <row r="48" spans="1:6" x14ac:dyDescent="0.35">
      <c r="A48" s="247"/>
    </row>
    <row r="49" spans="1:6" x14ac:dyDescent="0.35">
      <c r="A49" s="254" t="s">
        <v>521</v>
      </c>
      <c r="B49" s="470" t="str">
        <f>'Adjusted Schedule 3'!B18:C18</f>
        <v>Diversus Health Service ATU</v>
      </c>
      <c r="C49" s="470"/>
    </row>
    <row r="50" spans="1:6" x14ac:dyDescent="0.35">
      <c r="A50" s="254"/>
      <c r="B50" t="str">
        <f>IF($B$49="N/A","","Census Days")</f>
        <v>Census Days</v>
      </c>
      <c r="D50" s="13">
        <f>'Adjusted Schedule 3'!K18</f>
        <v>3151</v>
      </c>
      <c r="E50" s="13">
        <f>'As-Filed Schedule 3'!K17</f>
        <v>3151</v>
      </c>
      <c r="F50" s="13">
        <f>D50-E50</f>
        <v>0</v>
      </c>
    </row>
    <row r="51" spans="1:6" x14ac:dyDescent="0.35">
      <c r="A51" s="254"/>
      <c r="B51" t="str">
        <f>IF($B$49="N/A","","Total Expense")</f>
        <v>Total Expense</v>
      </c>
      <c r="D51" s="248">
        <f>'Adjusted Schedule 3'!M18</f>
        <v>5773346.1970490608</v>
      </c>
      <c r="E51" s="248">
        <f>'As-Filed Schedule 3'!M17</f>
        <v>5773346.1970490608</v>
      </c>
      <c r="F51" s="248">
        <f t="shared" ref="F51:F52" si="2">D51-E51</f>
        <v>0</v>
      </c>
    </row>
    <row r="52" spans="1:6" x14ac:dyDescent="0.35">
      <c r="A52" s="254"/>
      <c r="B52" t="str">
        <f>IF($B$49="N/A","","Room and Board Expense")</f>
        <v>Room and Board Expense</v>
      </c>
      <c r="D52" s="248">
        <f>'Adjusted Schedule 3'!O18</f>
        <v>804426.67583998712</v>
      </c>
      <c r="E52" s="248">
        <f>'As-Filed Schedule 3'!O17</f>
        <v>804426.67583998712</v>
      </c>
      <c r="F52" s="248">
        <f t="shared" si="2"/>
        <v>0</v>
      </c>
    </row>
    <row r="53" spans="1:6" x14ac:dyDescent="0.35">
      <c r="A53" s="254"/>
      <c r="B53" t="str">
        <f>IF($B$49="N/A","","Services Expense")</f>
        <v>Services Expense</v>
      </c>
      <c r="D53" s="255">
        <f>'Adjusted Schedule 3'!Q18</f>
        <v>4968919.5212090742</v>
      </c>
      <c r="E53" s="255">
        <f>'As-Filed Schedule 3'!Q17</f>
        <v>4968919.5212090742</v>
      </c>
      <c r="F53" s="255">
        <f>IF(E53="","",D53-E53)</f>
        <v>0</v>
      </c>
    </row>
    <row r="54" spans="1:6" s="1" customFormat="1" x14ac:dyDescent="0.35">
      <c r="A54" s="254"/>
      <c r="B54" s="1" t="str">
        <f>IF($B$49="N/A","","Facility Total Cost Per Day")</f>
        <v>Facility Total Cost Per Day</v>
      </c>
      <c r="D54" s="251">
        <f>'Adjusted Schedule 3'!N18</f>
        <v>1832.2266572672361</v>
      </c>
      <c r="E54" s="251">
        <f>'As-Filed Schedule 3'!N17</f>
        <v>1832.2266572672361</v>
      </c>
      <c r="F54" s="251">
        <f>IF(E54="","",D54-E54)</f>
        <v>0</v>
      </c>
    </row>
    <row r="55" spans="1:6" x14ac:dyDescent="0.35">
      <c r="A55" s="254"/>
      <c r="B55" t="str">
        <f>IF($B$49="N/A","","Room and Board Cost Per Day")</f>
        <v>Room and Board Cost Per Day</v>
      </c>
      <c r="D55" s="253">
        <f>'Adjusted Schedule 3'!P18</f>
        <v>255.29250264677472</v>
      </c>
      <c r="E55" s="253">
        <f>'As-Filed Schedule 3'!P17</f>
        <v>255.29250264677472</v>
      </c>
      <c r="F55" s="253">
        <f>IF(E55="","",D55-E55)</f>
        <v>0</v>
      </c>
    </row>
    <row r="56" spans="1:6" x14ac:dyDescent="0.35">
      <c r="A56" s="254"/>
      <c r="B56" t="str">
        <f>IF($B$49="N/A","","Services Cost Per Day")</f>
        <v>Services Cost Per Day</v>
      </c>
      <c r="D56" s="253">
        <f>'Adjusted Schedule 3'!R18</f>
        <v>1576.9341546204614</v>
      </c>
      <c r="E56" s="253">
        <f>'As-Filed Schedule 3'!R17</f>
        <v>1576.9341546204614</v>
      </c>
      <c r="F56" s="253">
        <f>IF(E56="","",D56-E56)</f>
        <v>0</v>
      </c>
    </row>
    <row r="57" spans="1:6" x14ac:dyDescent="0.35">
      <c r="A57" s="254"/>
    </row>
    <row r="58" spans="1:6" hidden="1" x14ac:dyDescent="0.35">
      <c r="A58" s="254" t="s">
        <v>522</v>
      </c>
      <c r="B58" s="470">
        <f>'Adjusted Schedule 3'!B23:C23</f>
        <v>0</v>
      </c>
      <c r="C58" s="470"/>
    </row>
    <row r="59" spans="1:6" hidden="1" x14ac:dyDescent="0.35">
      <c r="A59" s="254"/>
      <c r="B59" t="str">
        <f>IF($B$49="N/A","","Census Days")</f>
        <v>Census Days</v>
      </c>
      <c r="D59" s="13">
        <f>'Adjusted Schedule 3'!K23</f>
        <v>0</v>
      </c>
      <c r="E59" s="13">
        <f>'As-Filed Schedule 3'!K22</f>
        <v>0</v>
      </c>
      <c r="F59" s="13">
        <f>D59-E59</f>
        <v>0</v>
      </c>
    </row>
    <row r="60" spans="1:6" hidden="1" x14ac:dyDescent="0.35">
      <c r="A60" s="254"/>
      <c r="B60" t="str">
        <f>IF($B$49="N/A","","Total Expense")</f>
        <v>Total Expense</v>
      </c>
      <c r="D60" s="248">
        <f>'Adjusted Schedule 3'!M23</f>
        <v>0</v>
      </c>
      <c r="E60" s="248">
        <f>'As-Filed Schedule 3'!M22</f>
        <v>0</v>
      </c>
      <c r="F60" s="248">
        <f t="shared" ref="F60:F61" si="3">D60-E60</f>
        <v>0</v>
      </c>
    </row>
    <row r="61" spans="1:6" hidden="1" x14ac:dyDescent="0.35">
      <c r="A61" s="254"/>
      <c r="B61" t="str">
        <f>IF($B$49="N/A","","Room and Board Expense")</f>
        <v>Room and Board Expense</v>
      </c>
      <c r="D61" s="248">
        <f>'Adjusted Schedule 3'!O23</f>
        <v>0</v>
      </c>
      <c r="E61" s="248">
        <f>'As-Filed Schedule 3'!O22</f>
        <v>0</v>
      </c>
      <c r="F61" s="248">
        <f t="shared" si="3"/>
        <v>0</v>
      </c>
    </row>
    <row r="62" spans="1:6" hidden="1" x14ac:dyDescent="0.35">
      <c r="A62" s="254"/>
      <c r="B62" t="str">
        <f>IF($B$49="N/A","","Services Expense")</f>
        <v>Services Expense</v>
      </c>
      <c r="D62" s="255" t="str">
        <f>'Adjusted Schedule 3'!Q23</f>
        <v/>
      </c>
      <c r="E62" s="255" t="str">
        <f>'As-Filed Schedule 3'!Q22</f>
        <v/>
      </c>
      <c r="F62" s="255" t="str">
        <f>IF(E62="","",D62-E62)</f>
        <v/>
      </c>
    </row>
    <row r="63" spans="1:6" s="1" customFormat="1" hidden="1" x14ac:dyDescent="0.35">
      <c r="A63" s="254"/>
      <c r="B63" s="1" t="str">
        <f>IF($B$49="N/A","","Facility Total Cost Per Day")</f>
        <v>Facility Total Cost Per Day</v>
      </c>
      <c r="D63" s="251" t="str">
        <f>'Adjusted Schedule 3'!N23</f>
        <v/>
      </c>
      <c r="E63" s="251" t="str">
        <f>'As-Filed Schedule 3'!N22</f>
        <v/>
      </c>
      <c r="F63" s="251" t="str">
        <f t="shared" ref="F63:F65" si="4">IF(E63="","",D63-E63)</f>
        <v/>
      </c>
    </row>
    <row r="64" spans="1:6" hidden="1" x14ac:dyDescent="0.35">
      <c r="A64" s="254"/>
      <c r="B64" t="str">
        <f>IF($B$49="N/A","","Room and Board Cost Per Day")</f>
        <v>Room and Board Cost Per Day</v>
      </c>
      <c r="D64" s="253" t="str">
        <f>'Adjusted Schedule 3'!P23</f>
        <v/>
      </c>
      <c r="E64" s="253" t="str">
        <f>'As-Filed Schedule 3'!P22</f>
        <v/>
      </c>
      <c r="F64" s="253" t="str">
        <f t="shared" si="4"/>
        <v/>
      </c>
    </row>
    <row r="65" spans="1:6" hidden="1" x14ac:dyDescent="0.35">
      <c r="A65" s="254"/>
      <c r="B65" t="str">
        <f>IF($B$49="N/A","","Services Cost Per Day")</f>
        <v>Services Cost Per Day</v>
      </c>
      <c r="D65" s="253" t="str">
        <f>'Adjusted Schedule 3'!R23</f>
        <v/>
      </c>
      <c r="E65" s="253" t="str">
        <f>'As-Filed Schedule 3'!R22</f>
        <v/>
      </c>
      <c r="F65" s="253" t="str">
        <f t="shared" si="4"/>
        <v/>
      </c>
    </row>
    <row r="66" spans="1:6" hidden="1" x14ac:dyDescent="0.35">
      <c r="A66" s="254"/>
    </row>
    <row r="67" spans="1:6" hidden="1" x14ac:dyDescent="0.35">
      <c r="A67" s="254" t="s">
        <v>523</v>
      </c>
      <c r="B67" s="470">
        <f>'Adjusted Schedule 3'!B28:C28</f>
        <v>0</v>
      </c>
      <c r="C67" s="470"/>
    </row>
    <row r="68" spans="1:6" hidden="1" x14ac:dyDescent="0.35">
      <c r="A68" s="254"/>
      <c r="B68" t="str">
        <f>IF($B$49="N/A","","Census Days")</f>
        <v>Census Days</v>
      </c>
      <c r="D68" s="13">
        <f>'Adjusted Schedule 3'!K28</f>
        <v>0</v>
      </c>
      <c r="E68" s="13">
        <f>'As-Filed Schedule 3'!K27</f>
        <v>0</v>
      </c>
      <c r="F68" s="13">
        <f>D68-E68</f>
        <v>0</v>
      </c>
    </row>
    <row r="69" spans="1:6" hidden="1" x14ac:dyDescent="0.35">
      <c r="A69" s="254"/>
      <c r="B69" t="str">
        <f>IF($B$49="N/A","","Total Expense")</f>
        <v>Total Expense</v>
      </c>
      <c r="D69" s="248">
        <f>'Adjusted Schedule 3'!M28</f>
        <v>0</v>
      </c>
      <c r="E69" s="248">
        <f>'As-Filed Schedule 3'!M27</f>
        <v>0</v>
      </c>
      <c r="F69" s="248">
        <f t="shared" ref="F69:F70" si="5">D69-E69</f>
        <v>0</v>
      </c>
    </row>
    <row r="70" spans="1:6" hidden="1" x14ac:dyDescent="0.35">
      <c r="A70" s="254"/>
      <c r="B70" t="str">
        <f>IF($B$49="N/A","","Room and Board Expense")</f>
        <v>Room and Board Expense</v>
      </c>
      <c r="D70" s="248">
        <f>'Adjusted Schedule 3'!O28</f>
        <v>0</v>
      </c>
      <c r="E70" s="248">
        <f>'As-Filed Schedule 3'!O27</f>
        <v>0</v>
      </c>
      <c r="F70" s="248">
        <f t="shared" si="5"/>
        <v>0</v>
      </c>
    </row>
    <row r="71" spans="1:6" hidden="1" x14ac:dyDescent="0.35">
      <c r="A71" s="254"/>
      <c r="B71" t="str">
        <f>IF($B$49="N/A","","Services Expense")</f>
        <v>Services Expense</v>
      </c>
      <c r="D71" s="255" t="str">
        <f>'Adjusted Schedule 3'!Q28</f>
        <v/>
      </c>
      <c r="E71" s="255" t="str">
        <f>'As-Filed Schedule 3'!Q27</f>
        <v/>
      </c>
      <c r="F71" s="255" t="str">
        <f>IF(E71="","",D71-E71)</f>
        <v/>
      </c>
    </row>
    <row r="72" spans="1:6" s="1" customFormat="1" hidden="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hidden="1" x14ac:dyDescent="0.35">
      <c r="A73" s="254"/>
      <c r="B73" t="str">
        <f>IF($B$49="N/A","","Room and Board Cost Per Day")</f>
        <v>Room and Board Cost Per Day</v>
      </c>
      <c r="D73" s="253" t="str">
        <f>'Adjusted Schedule 3'!P28</f>
        <v/>
      </c>
      <c r="E73" s="253" t="str">
        <f>'As-Filed Schedule 3'!P27</f>
        <v/>
      </c>
      <c r="F73" s="253" t="str">
        <f t="shared" si="6"/>
        <v/>
      </c>
    </row>
    <row r="74" spans="1:6" hidden="1" x14ac:dyDescent="0.35">
      <c r="A74" s="254"/>
      <c r="B74" t="str">
        <f>IF($B$49="N/A","","Services Cost Per Day")</f>
        <v>Services Cost Per Day</v>
      </c>
      <c r="D74" s="253" t="str">
        <f>'Adjusted Schedule 3'!R28</f>
        <v/>
      </c>
      <c r="E74" s="253" t="str">
        <f>'As-Filed Schedule 3'!R27</f>
        <v/>
      </c>
      <c r="F74" s="253" t="str">
        <f t="shared" si="6"/>
        <v/>
      </c>
    </row>
    <row r="75" spans="1:6" hidden="1" x14ac:dyDescent="0.35">
      <c r="A75" s="254"/>
    </row>
    <row r="76" spans="1:6" hidden="1" x14ac:dyDescent="0.35">
      <c r="A76" s="254" t="s">
        <v>524</v>
      </c>
      <c r="B76" s="470">
        <f>'Adjusted Schedule 3'!B33:C33</f>
        <v>0</v>
      </c>
      <c r="C76" s="470"/>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1"/>
    </row>
    <row r="85" spans="1:6" hidden="1" x14ac:dyDescent="0.35">
      <c r="A85" s="254" t="s">
        <v>525</v>
      </c>
      <c r="B85" s="470">
        <f>'Adjusted Schedule 3'!B38:C38</f>
        <v>0</v>
      </c>
      <c r="C85" s="470"/>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526</v>
      </c>
      <c r="B94" s="470">
        <f>'Adjusted Schedule 3'!B43:C43</f>
        <v>0</v>
      </c>
      <c r="C94" s="470"/>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527</v>
      </c>
      <c r="B103" s="470">
        <f>'Adjusted Schedule 3'!B48:C48</f>
        <v>0</v>
      </c>
      <c r="C103" s="470"/>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1"/>
    </row>
    <row r="112" spans="1:6" hidden="1" x14ac:dyDescent="0.35">
      <c r="A112" s="254" t="s">
        <v>528</v>
      </c>
      <c r="B112" s="470">
        <f>'Adjusted Schedule 3'!B53:C53</f>
        <v>0</v>
      </c>
      <c r="C112" s="470"/>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470">
        <f>'Adjusted Schedule 3'!B58:C58</f>
        <v>0</v>
      </c>
      <c r="C121" s="470"/>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470">
        <f>'Adjusted Schedule 3'!B63:C63</f>
        <v>0</v>
      </c>
      <c r="C130" s="470"/>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470">
        <f>'Adjusted Schedule 3'!B68:C68</f>
        <v>0</v>
      </c>
      <c r="C139" s="470"/>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470">
        <f>'Adjusted Schedule 3'!B73:C73</f>
        <v>0</v>
      </c>
      <c r="C148" s="470"/>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470">
        <f>'Adjusted Schedule 3'!B78:C78</f>
        <v>0</v>
      </c>
      <c r="C157" s="470"/>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470">
        <f>'Adjusted Schedule 3'!B83:C83</f>
        <v>0</v>
      </c>
      <c r="C166" s="470"/>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470">
        <f>'Adjusted Schedule 3'!B88:C88</f>
        <v>0</v>
      </c>
      <c r="C175" s="470"/>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470">
        <f>'Adjusted Schedule 3'!B93:C93</f>
        <v>0</v>
      </c>
      <c r="C184" s="470"/>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470">
        <f>'Adjusted Schedule 3'!B98:C98</f>
        <v>0</v>
      </c>
      <c r="C193" s="470"/>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470">
        <f>'Adjusted Schedule 3'!B103:C103</f>
        <v>0</v>
      </c>
      <c r="C202" s="470"/>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470">
        <f>'Adjusted Schedule 3'!B108:C108</f>
        <v>0</v>
      </c>
      <c r="C211" s="470"/>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470">
        <f>'Adjusted Schedule 3'!B113:C113</f>
        <v>0</v>
      </c>
      <c r="C220" s="470"/>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470">
        <f>'Adjusted Schedule 3'!B118:C118</f>
        <v>0</v>
      </c>
      <c r="C229" s="470"/>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470">
        <f>'Adjusted Schedule 3'!B123:C123</f>
        <v>0</v>
      </c>
      <c r="C238" s="470"/>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470">
        <f>'Adjusted Schedule 3'!B128:C128</f>
        <v>0</v>
      </c>
      <c r="C247" s="470"/>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470">
        <f>'Adjusted Schedule 3'!B133:C133</f>
        <v>0</v>
      </c>
      <c r="C256" s="470"/>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470">
        <f>'Adjusted Schedule 3'!B138:C138</f>
        <v>0</v>
      </c>
      <c r="C265" s="470"/>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470">
        <f>'Adjusted Schedule 3'!B143:C143</f>
        <v>0</v>
      </c>
      <c r="C274" s="470"/>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470">
        <f>'Adjusted Schedule 3'!B148:C148</f>
        <v>0</v>
      </c>
      <c r="C283" s="470"/>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470">
        <f>'Adjusted Schedule 3'!B153:C153</f>
        <v>0</v>
      </c>
      <c r="C292" s="470"/>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470">
        <f>'Adjusted Schedule 3'!B158:C158</f>
        <v>0</v>
      </c>
      <c r="C301" s="470"/>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470">
        <f>'Adjusted Schedule 3'!B163:C163</f>
        <v>0</v>
      </c>
      <c r="C310" s="470"/>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7" right="0.7" top="0.75" bottom="0.75" header="0.3" footer="0.3"/>
  <pageSetup scale="63" fitToHeight="0" orientation="portrait"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A421"/>
  <sheetViews>
    <sheetView workbookViewId="0"/>
  </sheetViews>
  <sheetFormatPr defaultColWidth="9.08984375" defaultRowHeight="12.5" x14ac:dyDescent="0.25"/>
  <cols>
    <col min="1" max="1" width="2.54296875" style="281" customWidth="1"/>
    <col min="2" max="2" width="13" style="281" customWidth="1"/>
    <col min="3" max="3" width="11.36328125" style="281" customWidth="1"/>
    <col min="4" max="4" width="14" style="281" customWidth="1"/>
    <col min="5" max="6" width="10.6328125" style="281" customWidth="1"/>
    <col min="7" max="7" width="12.6328125" style="397" customWidth="1"/>
    <col min="8" max="8" width="10.90625" style="403" customWidth="1"/>
    <col min="9" max="9" width="13.08984375" style="403" customWidth="1"/>
    <col min="10" max="10" width="10.54296875" style="403" bestFit="1" customWidth="1"/>
    <col min="11" max="11" width="12.90625" style="281" customWidth="1"/>
    <col min="12" max="12" width="9.08984375" style="282"/>
    <col min="13" max="13" width="2" style="282" customWidth="1"/>
    <col min="14" max="26" width="9.08984375" style="282"/>
    <col min="27" max="27" width="9.08984375" style="282" hidden="1" customWidth="1"/>
    <col min="28" max="16384" width="9.08984375" style="282"/>
  </cols>
  <sheetData>
    <row r="1" spans="1:27" customFormat="1" ht="26" x14ac:dyDescent="0.6">
      <c r="A1" s="3" t="s">
        <v>774</v>
      </c>
      <c r="G1" s="396"/>
      <c r="H1" s="69"/>
      <c r="I1" s="69"/>
      <c r="J1" s="69"/>
    </row>
    <row r="2" spans="1:27" customFormat="1" ht="21" x14ac:dyDescent="0.5">
      <c r="A2" s="2" t="s">
        <v>772</v>
      </c>
      <c r="G2" s="396"/>
      <c r="H2" s="69"/>
      <c r="I2" s="69"/>
      <c r="J2" s="69"/>
      <c r="AA2" s="40" t="s">
        <v>496</v>
      </c>
    </row>
    <row r="3" spans="1:27" customFormat="1" ht="24.9" customHeight="1" x14ac:dyDescent="0.5">
      <c r="A3" s="243" t="str">
        <f>Results!A4</f>
        <v>Final Adjustments</v>
      </c>
      <c r="G3" s="396"/>
      <c r="H3" s="69"/>
      <c r="I3" s="69"/>
      <c r="J3" s="69"/>
      <c r="AA3" s="40" t="s">
        <v>497</v>
      </c>
    </row>
    <row r="4" spans="1:27" customFormat="1" ht="14.5" x14ac:dyDescent="0.35">
      <c r="F4" s="36"/>
      <c r="G4" s="396"/>
      <c r="H4" s="69"/>
      <c r="I4" s="69"/>
      <c r="J4" s="69"/>
    </row>
    <row r="5" spans="1:27" customFormat="1" ht="14.5" x14ac:dyDescent="0.35">
      <c r="A5" s="1" t="s">
        <v>773</v>
      </c>
      <c r="D5" s="420" t="str">
        <f>Results!$C$6</f>
        <v>Diversus Health</v>
      </c>
      <c r="G5" s="396"/>
      <c r="H5" s="69"/>
      <c r="I5" s="69"/>
      <c r="J5" s="69"/>
    </row>
    <row r="6" spans="1:27" customFormat="1" ht="14.5" x14ac:dyDescent="0.35">
      <c r="A6" s="1" t="s">
        <v>0</v>
      </c>
      <c r="D6" s="35">
        <f>Results!$C$7</f>
        <v>45473</v>
      </c>
      <c r="F6" s="40"/>
      <c r="G6" s="396"/>
      <c r="H6" s="69"/>
      <c r="I6" s="69"/>
      <c r="J6" s="69"/>
    </row>
    <row r="7" spans="1:27" ht="13" thickBot="1" x14ac:dyDescent="0.3"/>
    <row r="8" spans="1:27" ht="13.5" thickBot="1" x14ac:dyDescent="0.3">
      <c r="B8" s="283" t="s">
        <v>578</v>
      </c>
      <c r="C8" s="284"/>
      <c r="D8" s="284"/>
      <c r="E8" s="284"/>
      <c r="F8" s="284"/>
      <c r="G8" s="398"/>
      <c r="H8" s="404"/>
      <c r="I8" s="404"/>
      <c r="J8" s="404"/>
      <c r="K8" s="285"/>
    </row>
    <row r="9" spans="1:27" ht="13" x14ac:dyDescent="0.25">
      <c r="B9" s="286"/>
      <c r="C9" s="286"/>
      <c r="D9" s="286"/>
      <c r="E9" s="286"/>
      <c r="F9" s="286"/>
      <c r="G9" s="399"/>
      <c r="H9" s="288"/>
      <c r="I9" s="288"/>
      <c r="J9" s="288"/>
      <c r="K9" s="286"/>
    </row>
    <row r="10" spans="1:27" ht="13" x14ac:dyDescent="0.25">
      <c r="A10" s="287"/>
      <c r="B10" s="288" t="s">
        <v>579</v>
      </c>
      <c r="C10" s="289"/>
      <c r="D10" s="289"/>
      <c r="E10" s="289"/>
      <c r="F10" s="289"/>
      <c r="G10" s="400"/>
      <c r="H10" s="289"/>
      <c r="I10" s="289"/>
      <c r="J10" s="289"/>
      <c r="K10" s="289"/>
    </row>
    <row r="11" spans="1:27" ht="13" x14ac:dyDescent="0.25">
      <c r="A11" s="287"/>
      <c r="B11" s="290" t="s">
        <v>580</v>
      </c>
      <c r="C11" s="291" t="s">
        <v>11</v>
      </c>
      <c r="D11" s="292"/>
      <c r="E11" s="290"/>
      <c r="F11" s="290"/>
      <c r="G11" s="401"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5"/>
      <c r="K12" s="301"/>
    </row>
    <row r="13" spans="1:27" ht="13.5" thickBot="1" x14ac:dyDescent="0.3">
      <c r="A13" s="295"/>
      <c r="B13" s="296"/>
      <c r="C13" s="297"/>
      <c r="D13" s="298"/>
      <c r="E13" s="298"/>
      <c r="F13" s="298"/>
      <c r="G13" s="299"/>
      <c r="H13" s="300"/>
      <c r="I13" s="300"/>
      <c r="J13" s="405"/>
      <c r="K13" s="301"/>
    </row>
    <row r="14" spans="1:27" ht="13.5" thickBot="1" x14ac:dyDescent="0.3">
      <c r="B14" s="283" t="s">
        <v>586</v>
      </c>
      <c r="C14" s="284"/>
      <c r="D14" s="284"/>
      <c r="E14" s="284"/>
      <c r="F14" s="284"/>
      <c r="G14" s="398"/>
      <c r="H14" s="404"/>
      <c r="I14" s="404"/>
      <c r="J14" s="404"/>
      <c r="K14" s="285"/>
    </row>
    <row r="15" spans="1:27" ht="13" x14ac:dyDescent="0.25">
      <c r="B15" s="286"/>
      <c r="C15" s="286"/>
      <c r="D15" s="286"/>
      <c r="E15" s="286"/>
      <c r="F15" s="286"/>
      <c r="G15" s="399"/>
      <c r="H15" s="288"/>
      <c r="I15" s="288"/>
      <c r="J15" s="288"/>
      <c r="K15" s="286"/>
    </row>
    <row r="16" spans="1:27" ht="13" x14ac:dyDescent="0.25">
      <c r="A16" s="287"/>
      <c r="B16" s="288" t="s">
        <v>579</v>
      </c>
      <c r="C16" s="289"/>
      <c r="D16" s="289"/>
      <c r="E16" s="289"/>
      <c r="F16" s="289"/>
      <c r="G16" s="400"/>
      <c r="H16" s="289"/>
      <c r="I16" s="289"/>
      <c r="J16" s="289"/>
      <c r="K16" s="289"/>
    </row>
    <row r="17" spans="1:22" ht="13" x14ac:dyDescent="0.25">
      <c r="A17" s="287"/>
      <c r="B17" s="290" t="s">
        <v>580</v>
      </c>
      <c r="C17" s="291" t="s">
        <v>11</v>
      </c>
      <c r="D17" s="292"/>
      <c r="E17" s="290"/>
      <c r="F17" s="290"/>
      <c r="G17" s="401" t="s">
        <v>581</v>
      </c>
      <c r="H17" s="290" t="s">
        <v>582</v>
      </c>
      <c r="I17" s="290" t="s">
        <v>583</v>
      </c>
      <c r="J17" s="290" t="s">
        <v>584</v>
      </c>
      <c r="K17" s="290" t="s">
        <v>585</v>
      </c>
      <c r="M17" s="293"/>
      <c r="N17" s="294"/>
      <c r="O17" s="294"/>
      <c r="P17" s="294"/>
      <c r="Q17" s="294"/>
      <c r="R17" s="294"/>
      <c r="S17" s="294"/>
      <c r="T17" s="294"/>
      <c r="U17" s="294"/>
      <c r="V17" s="294"/>
    </row>
    <row r="18" spans="1:22" ht="13" x14ac:dyDescent="0.25">
      <c r="A18" s="295"/>
      <c r="B18" s="296"/>
      <c r="C18" s="297"/>
      <c r="D18" s="298"/>
      <c r="E18" s="298"/>
      <c r="F18" s="298"/>
      <c r="G18" s="302"/>
      <c r="H18" s="300"/>
      <c r="I18" s="300"/>
      <c r="J18" s="300"/>
      <c r="K18" s="301"/>
    </row>
    <row r="19" spans="1:22" ht="13.5" thickBot="1" x14ac:dyDescent="0.3">
      <c r="A19" s="295"/>
      <c r="B19" s="296"/>
      <c r="C19" s="297"/>
      <c r="D19" s="298"/>
      <c r="E19" s="298"/>
      <c r="F19" s="298"/>
      <c r="G19" s="299"/>
      <c r="H19" s="300"/>
      <c r="I19" s="300"/>
      <c r="J19" s="405"/>
      <c r="K19" s="301"/>
    </row>
    <row r="20" spans="1:22" ht="13.5" thickBot="1" x14ac:dyDescent="0.3">
      <c r="B20" s="283" t="s">
        <v>587</v>
      </c>
      <c r="C20" s="284"/>
      <c r="D20" s="284"/>
      <c r="E20" s="284"/>
      <c r="F20" s="284"/>
      <c r="G20" s="398"/>
      <c r="H20" s="404"/>
      <c r="I20" s="404"/>
      <c r="J20" s="404"/>
      <c r="K20" s="285"/>
    </row>
    <row r="21" spans="1:22" ht="13" x14ac:dyDescent="0.25">
      <c r="B21" s="286"/>
      <c r="C21" s="286"/>
      <c r="D21" s="286"/>
      <c r="E21" s="286"/>
      <c r="F21" s="286"/>
      <c r="G21" s="399"/>
      <c r="H21" s="288"/>
      <c r="I21" s="288"/>
      <c r="J21" s="288"/>
      <c r="K21" s="286"/>
    </row>
    <row r="22" spans="1:22" ht="13" x14ac:dyDescent="0.25">
      <c r="A22" s="287"/>
      <c r="B22" s="288" t="s">
        <v>579</v>
      </c>
      <c r="C22" s="289"/>
      <c r="D22" s="289"/>
      <c r="E22" s="289"/>
      <c r="F22" s="289"/>
      <c r="G22" s="400"/>
      <c r="H22" s="289"/>
      <c r="I22" s="289"/>
      <c r="J22" s="289"/>
      <c r="K22" s="289"/>
    </row>
    <row r="23" spans="1:22" ht="13" x14ac:dyDescent="0.25">
      <c r="A23" s="287"/>
      <c r="B23" s="290" t="s">
        <v>580</v>
      </c>
      <c r="C23" s="291" t="s">
        <v>11</v>
      </c>
      <c r="D23" s="292"/>
      <c r="E23" s="290"/>
      <c r="F23" s="290"/>
      <c r="G23" s="401" t="s">
        <v>581</v>
      </c>
      <c r="H23" s="290" t="s">
        <v>582</v>
      </c>
      <c r="I23" s="290" t="s">
        <v>583</v>
      </c>
      <c r="J23" s="290" t="s">
        <v>584</v>
      </c>
      <c r="K23" s="290" t="s">
        <v>585</v>
      </c>
      <c r="M23" s="293"/>
      <c r="N23" s="294"/>
      <c r="O23" s="294"/>
      <c r="P23" s="294"/>
      <c r="Q23" s="294"/>
      <c r="R23" s="294"/>
      <c r="S23" s="294"/>
      <c r="T23" s="294"/>
      <c r="U23" s="294"/>
      <c r="V23" s="294"/>
    </row>
    <row r="24" spans="1:22" ht="13" x14ac:dyDescent="0.25">
      <c r="A24" s="295"/>
      <c r="B24" s="296"/>
      <c r="C24" s="297"/>
      <c r="D24" s="298"/>
      <c r="E24" s="298"/>
      <c r="F24" s="298"/>
      <c r="G24" s="302"/>
      <c r="H24" s="303"/>
      <c r="I24" s="304"/>
      <c r="J24" s="304"/>
      <c r="K24" s="301"/>
    </row>
    <row r="25" spans="1:22" ht="13.5" thickBot="1" x14ac:dyDescent="0.3">
      <c r="A25" s="295"/>
      <c r="B25" s="296"/>
      <c r="C25" s="297"/>
      <c r="D25" s="298"/>
      <c r="E25" s="298"/>
      <c r="F25" s="298"/>
      <c r="G25" s="299"/>
      <c r="H25" s="300"/>
      <c r="I25" s="300"/>
      <c r="J25" s="405"/>
      <c r="K25" s="301"/>
    </row>
    <row r="26" spans="1:22" ht="13.5" thickBot="1" x14ac:dyDescent="0.3">
      <c r="A26" s="287"/>
      <c r="B26" s="283" t="s">
        <v>588</v>
      </c>
      <c r="C26" s="284"/>
      <c r="D26" s="284"/>
      <c r="E26" s="284"/>
      <c r="F26" s="284"/>
      <c r="G26" s="398"/>
      <c r="H26" s="404"/>
      <c r="I26" s="404"/>
      <c r="J26" s="404"/>
      <c r="K26" s="285"/>
    </row>
    <row r="27" spans="1:22" x14ac:dyDescent="0.25">
      <c r="A27" s="287"/>
      <c r="B27" s="305"/>
      <c r="C27" s="306"/>
      <c r="D27" s="287"/>
      <c r="E27" s="287"/>
      <c r="F27" s="287"/>
      <c r="G27" s="402"/>
      <c r="H27" s="305"/>
      <c r="I27" s="305"/>
      <c r="J27" s="305"/>
      <c r="K27" s="287"/>
    </row>
    <row r="28" spans="1:22" ht="13" x14ac:dyDescent="0.25">
      <c r="A28" s="287"/>
      <c r="B28" s="288" t="s">
        <v>579</v>
      </c>
      <c r="C28" s="306"/>
      <c r="D28" s="287"/>
      <c r="E28" s="287"/>
      <c r="F28" s="287"/>
      <c r="G28" s="402"/>
      <c r="H28" s="305"/>
      <c r="I28" s="305"/>
      <c r="J28" s="305"/>
      <c r="K28" s="287"/>
    </row>
    <row r="29" spans="1:22" ht="13" x14ac:dyDescent="0.25">
      <c r="A29" s="287"/>
      <c r="B29" s="290" t="s">
        <v>580</v>
      </c>
      <c r="C29" s="291" t="s">
        <v>11</v>
      </c>
      <c r="D29" s="292"/>
      <c r="E29" s="290"/>
      <c r="F29" s="290"/>
      <c r="G29" s="401" t="s">
        <v>581</v>
      </c>
      <c r="H29" s="290" t="s">
        <v>582</v>
      </c>
      <c r="I29" s="290" t="s">
        <v>583</v>
      </c>
      <c r="J29" s="290" t="s">
        <v>584</v>
      </c>
      <c r="K29" s="290" t="s">
        <v>585</v>
      </c>
    </row>
    <row r="30" spans="1:22" ht="13" x14ac:dyDescent="0.25">
      <c r="A30" s="295"/>
      <c r="B30" s="296"/>
      <c r="C30" s="297"/>
      <c r="D30" s="298"/>
      <c r="E30" s="298"/>
      <c r="F30" s="298"/>
      <c r="G30" s="299"/>
      <c r="H30" s="300"/>
      <c r="I30" s="300"/>
      <c r="J30" s="405"/>
      <c r="K30" s="301"/>
    </row>
    <row r="31" spans="1:22" ht="13.5" thickBot="1" x14ac:dyDescent="0.3">
      <c r="A31" s="295"/>
      <c r="B31" s="296"/>
      <c r="C31" s="297"/>
      <c r="D31" s="298"/>
      <c r="E31" s="298"/>
      <c r="F31" s="298"/>
      <c r="G31" s="299"/>
      <c r="H31" s="300"/>
      <c r="I31" s="300"/>
      <c r="J31" s="405"/>
      <c r="K31" s="301"/>
    </row>
    <row r="32" spans="1:22" ht="13.5" thickBot="1" x14ac:dyDescent="0.3">
      <c r="A32" s="287"/>
      <c r="B32" s="283" t="s">
        <v>589</v>
      </c>
      <c r="C32" s="284"/>
      <c r="D32" s="284"/>
      <c r="E32" s="284"/>
      <c r="F32" s="284"/>
      <c r="G32" s="398"/>
      <c r="H32" s="404"/>
      <c r="I32" s="404"/>
      <c r="J32" s="404"/>
      <c r="K32" s="285"/>
    </row>
    <row r="33" spans="1:11" x14ac:dyDescent="0.25">
      <c r="A33" s="287"/>
      <c r="B33" s="305"/>
      <c r="C33" s="306"/>
      <c r="D33" s="287"/>
      <c r="E33" s="287"/>
      <c r="F33" s="287"/>
      <c r="G33" s="402"/>
      <c r="H33" s="305"/>
      <c r="I33" s="305"/>
      <c r="J33" s="305"/>
      <c r="K33" s="287"/>
    </row>
    <row r="34" spans="1:11" ht="13" x14ac:dyDescent="0.25">
      <c r="A34" s="287"/>
      <c r="B34" s="288" t="s">
        <v>579</v>
      </c>
      <c r="C34" s="306"/>
      <c r="D34" s="287"/>
      <c r="E34" s="287"/>
      <c r="F34" s="287"/>
      <c r="G34" s="402"/>
      <c r="H34" s="305"/>
      <c r="I34" s="305"/>
      <c r="J34" s="305"/>
      <c r="K34" s="287"/>
    </row>
    <row r="35" spans="1:11" ht="13" x14ac:dyDescent="0.25">
      <c r="A35" s="287"/>
      <c r="B35" s="290" t="s">
        <v>580</v>
      </c>
      <c r="C35" s="291" t="s">
        <v>11</v>
      </c>
      <c r="D35" s="292"/>
      <c r="E35" s="290"/>
      <c r="F35" s="290"/>
      <c r="G35" s="401" t="s">
        <v>581</v>
      </c>
      <c r="H35" s="290" t="s">
        <v>582</v>
      </c>
      <c r="I35" s="290" t="s">
        <v>583</v>
      </c>
      <c r="J35" s="290" t="s">
        <v>584</v>
      </c>
      <c r="K35" s="290" t="s">
        <v>585</v>
      </c>
    </row>
    <row r="36" spans="1:11" ht="13" x14ac:dyDescent="0.25">
      <c r="A36" s="295"/>
      <c r="B36" s="296"/>
      <c r="C36" s="297"/>
      <c r="D36" s="298"/>
      <c r="E36" s="298"/>
      <c r="F36" s="298"/>
      <c r="G36" s="299"/>
      <c r="H36" s="300"/>
      <c r="I36" s="300"/>
      <c r="J36" s="405"/>
      <c r="K36" s="301"/>
    </row>
    <row r="37" spans="1:11" ht="13.5" thickBot="1" x14ac:dyDescent="0.3">
      <c r="A37" s="295"/>
      <c r="B37" s="296"/>
      <c r="C37" s="297"/>
      <c r="D37" s="298"/>
      <c r="E37" s="298"/>
      <c r="F37" s="298"/>
      <c r="G37" s="299"/>
      <c r="H37" s="300"/>
      <c r="I37" s="300"/>
      <c r="J37" s="405"/>
      <c r="K37" s="301"/>
    </row>
    <row r="38" spans="1:11" ht="13.5" thickBot="1" x14ac:dyDescent="0.3">
      <c r="A38" s="287"/>
      <c r="B38" s="283" t="s">
        <v>590</v>
      </c>
      <c r="C38" s="284"/>
      <c r="D38" s="284"/>
      <c r="E38" s="284"/>
      <c r="F38" s="284"/>
      <c r="G38" s="398"/>
      <c r="H38" s="404"/>
      <c r="I38" s="404"/>
      <c r="J38" s="404"/>
      <c r="K38" s="285"/>
    </row>
    <row r="39" spans="1:11" x14ac:dyDescent="0.25">
      <c r="A39" s="287"/>
      <c r="B39" s="305"/>
      <c r="C39" s="306"/>
      <c r="D39" s="287"/>
      <c r="E39" s="287"/>
      <c r="F39" s="287"/>
      <c r="G39" s="402"/>
      <c r="H39" s="305"/>
      <c r="I39" s="305"/>
      <c r="J39" s="305"/>
      <c r="K39" s="287"/>
    </row>
    <row r="40" spans="1:11" ht="13" x14ac:dyDescent="0.25">
      <c r="A40" s="287"/>
      <c r="B40" s="288" t="s">
        <v>579</v>
      </c>
      <c r="C40" s="306"/>
      <c r="D40" s="287"/>
      <c r="E40" s="287"/>
      <c r="F40" s="287"/>
      <c r="G40" s="402"/>
      <c r="H40" s="305"/>
      <c r="I40" s="305"/>
      <c r="J40" s="305"/>
      <c r="K40" s="287"/>
    </row>
    <row r="41" spans="1:11" ht="13" x14ac:dyDescent="0.25">
      <c r="A41" s="287"/>
      <c r="B41" s="290" t="s">
        <v>580</v>
      </c>
      <c r="C41" s="291" t="s">
        <v>11</v>
      </c>
      <c r="D41" s="292"/>
      <c r="E41" s="290"/>
      <c r="F41" s="290"/>
      <c r="G41" s="401" t="s">
        <v>581</v>
      </c>
      <c r="H41" s="290" t="s">
        <v>582</v>
      </c>
      <c r="I41" s="290" t="s">
        <v>583</v>
      </c>
      <c r="J41" s="290" t="s">
        <v>584</v>
      </c>
      <c r="K41" s="290" t="s">
        <v>585</v>
      </c>
    </row>
    <row r="42" spans="1:11" x14ac:dyDescent="0.25">
      <c r="A42" s="287"/>
      <c r="B42" s="287"/>
      <c r="C42" s="287"/>
      <c r="D42" s="287"/>
      <c r="E42" s="287"/>
      <c r="F42" s="287"/>
      <c r="G42" s="402"/>
      <c r="H42" s="305"/>
      <c r="I42" s="305"/>
      <c r="J42" s="305"/>
      <c r="K42" s="287"/>
    </row>
    <row r="43" spans="1:11" ht="13" x14ac:dyDescent="0.25">
      <c r="A43" s="287"/>
      <c r="B43" s="467">
        <v>1</v>
      </c>
      <c r="C43" s="458" t="s">
        <v>934</v>
      </c>
      <c r="D43" s="458"/>
      <c r="E43" s="458"/>
      <c r="F43" s="458"/>
      <c r="G43" s="460">
        <v>138232</v>
      </c>
      <c r="H43" s="460">
        <v>4</v>
      </c>
      <c r="I43" s="460">
        <v>8</v>
      </c>
      <c r="J43" s="460">
        <v>1</v>
      </c>
      <c r="K43" s="459">
        <v>300.10000000000002</v>
      </c>
    </row>
    <row r="44" spans="1:11" ht="13" thickBot="1" x14ac:dyDescent="0.3">
      <c r="A44" s="287"/>
      <c r="B44" s="287"/>
      <c r="C44" s="287"/>
      <c r="D44" s="287"/>
      <c r="E44" s="287"/>
      <c r="F44" s="287"/>
      <c r="G44" s="402"/>
      <c r="H44" s="305"/>
      <c r="I44" s="305"/>
      <c r="J44" s="305"/>
      <c r="K44" s="287"/>
    </row>
    <row r="45" spans="1:11" ht="13.5" thickBot="1" x14ac:dyDescent="0.3">
      <c r="A45" s="287"/>
      <c r="B45" s="283" t="s">
        <v>926</v>
      </c>
      <c r="C45" s="284"/>
      <c r="D45" s="284"/>
      <c r="E45" s="284"/>
      <c r="F45" s="284"/>
      <c r="G45" s="284"/>
      <c r="H45" s="284"/>
      <c r="I45" s="284"/>
      <c r="J45" s="284"/>
      <c r="K45" s="285"/>
    </row>
    <row r="46" spans="1:11" x14ac:dyDescent="0.25">
      <c r="A46" s="287"/>
      <c r="B46" s="305"/>
      <c r="C46" s="306"/>
      <c r="D46" s="287"/>
      <c r="E46" s="287"/>
      <c r="F46" s="287"/>
      <c r="G46" s="287"/>
      <c r="H46" s="287"/>
      <c r="I46" s="287"/>
      <c r="J46" s="287"/>
      <c r="K46" s="287"/>
    </row>
    <row r="47" spans="1:11" ht="13" x14ac:dyDescent="0.25">
      <c r="A47" s="287"/>
      <c r="B47" s="288" t="s">
        <v>579</v>
      </c>
      <c r="C47" s="306"/>
      <c r="D47" s="287"/>
      <c r="E47" s="287"/>
      <c r="F47" s="287"/>
      <c r="G47" s="287"/>
      <c r="H47" s="287"/>
      <c r="I47" s="287"/>
      <c r="J47" s="287"/>
      <c r="K47" s="287"/>
    </row>
    <row r="48" spans="1:11" ht="13" x14ac:dyDescent="0.25">
      <c r="A48" s="287"/>
      <c r="B48" s="290" t="s">
        <v>580</v>
      </c>
      <c r="C48" s="291" t="s">
        <v>11</v>
      </c>
      <c r="D48" s="292"/>
      <c r="E48" s="290"/>
      <c r="F48" s="290"/>
      <c r="G48" s="290" t="s">
        <v>581</v>
      </c>
      <c r="H48" s="290" t="s">
        <v>582</v>
      </c>
      <c r="I48" s="290" t="s">
        <v>583</v>
      </c>
      <c r="J48" s="290" t="s">
        <v>584</v>
      </c>
      <c r="K48" s="290" t="s">
        <v>585</v>
      </c>
    </row>
    <row r="49" spans="1:11" x14ac:dyDescent="0.25">
      <c r="A49" s="287"/>
      <c r="B49" s="287"/>
      <c r="C49" s="287"/>
      <c r="D49" s="287"/>
      <c r="E49" s="287"/>
      <c r="F49" s="287"/>
      <c r="G49" s="402"/>
      <c r="H49" s="305"/>
      <c r="I49" s="305"/>
      <c r="J49" s="305"/>
      <c r="K49" s="287"/>
    </row>
    <row r="50" spans="1:11" x14ac:dyDescent="0.25">
      <c r="A50" s="287"/>
      <c r="B50" s="287"/>
      <c r="C50" s="287"/>
      <c r="D50" s="287"/>
      <c r="E50" s="287"/>
      <c r="F50" s="287"/>
      <c r="G50" s="402"/>
      <c r="H50" s="305"/>
      <c r="I50" s="305"/>
      <c r="J50" s="305"/>
      <c r="K50" s="287"/>
    </row>
    <row r="51" spans="1:11" x14ac:dyDescent="0.25">
      <c r="A51" s="287"/>
      <c r="B51" s="287"/>
      <c r="C51" s="287"/>
      <c r="D51" s="287"/>
      <c r="E51" s="287"/>
      <c r="F51" s="287"/>
      <c r="G51" s="402"/>
      <c r="H51" s="305"/>
      <c r="I51" s="305"/>
      <c r="J51" s="305"/>
      <c r="K51" s="287"/>
    </row>
    <row r="52" spans="1:11" x14ac:dyDescent="0.25">
      <c r="A52" s="287"/>
      <c r="B52" s="287"/>
      <c r="C52" s="287"/>
      <c r="D52" s="287"/>
      <c r="E52" s="287"/>
      <c r="F52" s="287"/>
      <c r="G52" s="402"/>
      <c r="H52" s="305"/>
      <c r="I52" s="305"/>
      <c r="J52" s="305"/>
      <c r="K52" s="287"/>
    </row>
    <row r="53" spans="1:11" x14ac:dyDescent="0.25">
      <c r="A53" s="287"/>
      <c r="B53" s="287"/>
      <c r="C53" s="287"/>
      <c r="D53" s="287"/>
      <c r="E53" s="287"/>
      <c r="F53" s="287"/>
      <c r="G53" s="402"/>
      <c r="H53" s="305"/>
      <c r="I53" s="305"/>
      <c r="J53" s="305"/>
      <c r="K53" s="287"/>
    </row>
    <row r="54" spans="1:11" x14ac:dyDescent="0.25">
      <c r="A54" s="287"/>
      <c r="B54" s="287"/>
      <c r="C54" s="287"/>
      <c r="D54" s="287"/>
      <c r="E54" s="287"/>
      <c r="F54" s="287"/>
      <c r="G54" s="402"/>
      <c r="H54" s="305"/>
      <c r="I54" s="305"/>
      <c r="J54" s="305"/>
      <c r="K54" s="287"/>
    </row>
    <row r="55" spans="1:11" x14ac:dyDescent="0.25">
      <c r="A55" s="287"/>
      <c r="B55" s="287"/>
      <c r="C55" s="287"/>
      <c r="D55" s="287"/>
      <c r="E55" s="287"/>
      <c r="F55" s="287"/>
      <c r="G55" s="402"/>
      <c r="H55" s="305"/>
      <c r="I55" s="305"/>
      <c r="J55" s="305"/>
      <c r="K55" s="287"/>
    </row>
    <row r="56" spans="1:11" x14ac:dyDescent="0.25">
      <c r="A56" s="287"/>
      <c r="B56" s="287"/>
      <c r="C56" s="287"/>
      <c r="D56" s="287"/>
      <c r="E56" s="287"/>
      <c r="F56" s="287"/>
      <c r="G56" s="402"/>
      <c r="H56" s="305"/>
      <c r="I56" s="305"/>
      <c r="J56" s="305"/>
      <c r="K56" s="287"/>
    </row>
    <row r="57" spans="1:11" x14ac:dyDescent="0.25">
      <c r="A57" s="287"/>
      <c r="B57" s="287"/>
      <c r="C57" s="287"/>
      <c r="D57" s="287"/>
      <c r="E57" s="287"/>
      <c r="F57" s="287"/>
      <c r="G57" s="402"/>
      <c r="H57" s="305"/>
      <c r="I57" s="305"/>
      <c r="J57" s="305"/>
      <c r="K57" s="287"/>
    </row>
    <row r="58" spans="1:11" x14ac:dyDescent="0.25">
      <c r="A58" s="287"/>
      <c r="B58" s="287"/>
      <c r="C58" s="287"/>
      <c r="D58" s="287"/>
      <c r="E58" s="287"/>
      <c r="F58" s="287"/>
      <c r="G58" s="402"/>
      <c r="H58" s="305"/>
      <c r="I58" s="305"/>
      <c r="J58" s="305"/>
      <c r="K58" s="287"/>
    </row>
    <row r="59" spans="1:11" x14ac:dyDescent="0.25">
      <c r="A59" s="287"/>
      <c r="B59" s="287"/>
      <c r="C59" s="287"/>
      <c r="D59" s="287"/>
      <c r="E59" s="287"/>
      <c r="F59" s="287"/>
      <c r="G59" s="402"/>
      <c r="H59" s="305"/>
      <c r="I59" s="305"/>
      <c r="J59" s="305"/>
      <c r="K59" s="287"/>
    </row>
    <row r="60" spans="1:11" x14ac:dyDescent="0.25">
      <c r="A60" s="287"/>
      <c r="B60" s="287"/>
      <c r="C60" s="287"/>
      <c r="D60" s="287"/>
      <c r="E60" s="287"/>
      <c r="F60" s="287"/>
      <c r="G60" s="402"/>
      <c r="H60" s="305"/>
      <c r="I60" s="305"/>
      <c r="J60" s="305"/>
      <c r="K60" s="287"/>
    </row>
    <row r="61" spans="1:11" x14ac:dyDescent="0.25">
      <c r="A61" s="287"/>
      <c r="B61" s="287"/>
      <c r="C61" s="287"/>
      <c r="D61" s="287"/>
      <c r="E61" s="287"/>
      <c r="F61" s="287"/>
      <c r="G61" s="402"/>
      <c r="H61" s="305"/>
      <c r="I61" s="305"/>
      <c r="J61" s="305"/>
      <c r="K61" s="287"/>
    </row>
    <row r="62" spans="1:11" x14ac:dyDescent="0.25">
      <c r="A62" s="287"/>
      <c r="B62" s="287"/>
      <c r="C62" s="287"/>
      <c r="D62" s="287"/>
      <c r="E62" s="287"/>
      <c r="F62" s="287"/>
      <c r="G62" s="402"/>
      <c r="H62" s="305"/>
      <c r="I62" s="305"/>
      <c r="J62" s="305"/>
      <c r="K62" s="287"/>
    </row>
    <row r="63" spans="1:11" x14ac:dyDescent="0.25">
      <c r="A63" s="287"/>
      <c r="B63" s="287"/>
      <c r="C63" s="287"/>
      <c r="D63" s="287"/>
      <c r="E63" s="287"/>
      <c r="F63" s="287"/>
      <c r="G63" s="402"/>
      <c r="H63" s="305"/>
      <c r="I63" s="305"/>
      <c r="J63" s="305"/>
      <c r="K63" s="287"/>
    </row>
    <row r="64" spans="1:11" x14ac:dyDescent="0.25">
      <c r="A64" s="287"/>
      <c r="B64" s="287"/>
      <c r="C64" s="287"/>
      <c r="D64" s="287"/>
      <c r="E64" s="287"/>
      <c r="F64" s="287"/>
      <c r="G64" s="402"/>
      <c r="H64" s="305"/>
      <c r="I64" s="305"/>
      <c r="J64" s="305"/>
      <c r="K64" s="287"/>
    </row>
    <row r="65" spans="1:11" x14ac:dyDescent="0.25">
      <c r="A65" s="287"/>
      <c r="B65" s="287"/>
      <c r="C65" s="287"/>
      <c r="D65" s="287"/>
      <c r="E65" s="287"/>
      <c r="F65" s="287"/>
      <c r="G65" s="402"/>
      <c r="H65" s="305"/>
      <c r="I65" s="305"/>
      <c r="J65" s="305"/>
      <c r="K65" s="287"/>
    </row>
    <row r="66" spans="1:11" x14ac:dyDescent="0.25">
      <c r="A66" s="287"/>
      <c r="B66" s="287"/>
      <c r="C66" s="287"/>
      <c r="D66" s="287"/>
      <c r="E66" s="287"/>
      <c r="F66" s="287"/>
      <c r="G66" s="402"/>
      <c r="H66" s="305"/>
      <c r="I66" s="305"/>
      <c r="J66" s="305"/>
      <c r="K66" s="287"/>
    </row>
    <row r="67" spans="1:11" x14ac:dyDescent="0.25">
      <c r="A67" s="287"/>
      <c r="B67" s="287"/>
      <c r="C67" s="287"/>
      <c r="D67" s="287"/>
      <c r="E67" s="287"/>
      <c r="F67" s="287"/>
      <c r="G67" s="402"/>
      <c r="H67" s="305"/>
      <c r="I67" s="305"/>
      <c r="J67" s="305"/>
      <c r="K67" s="287"/>
    </row>
    <row r="68" spans="1:11" x14ac:dyDescent="0.25">
      <c r="A68" s="287"/>
      <c r="B68" s="287"/>
      <c r="C68" s="287"/>
      <c r="D68" s="287"/>
      <c r="E68" s="287"/>
      <c r="F68" s="287"/>
      <c r="G68" s="402"/>
      <c r="H68" s="305"/>
      <c r="I68" s="305"/>
      <c r="J68" s="305"/>
      <c r="K68" s="287"/>
    </row>
    <row r="69" spans="1:11" x14ac:dyDescent="0.25">
      <c r="A69" s="287"/>
      <c r="B69" s="287"/>
      <c r="C69" s="287"/>
      <c r="D69" s="287"/>
      <c r="E69" s="287"/>
      <c r="F69" s="287"/>
      <c r="G69" s="402"/>
      <c r="H69" s="305"/>
      <c r="I69" s="305"/>
      <c r="J69" s="305"/>
      <c r="K69" s="287"/>
    </row>
    <row r="70" spans="1:11" x14ac:dyDescent="0.25">
      <c r="A70" s="287"/>
      <c r="B70" s="287"/>
      <c r="C70" s="287"/>
      <c r="D70" s="287"/>
      <c r="E70" s="287"/>
      <c r="F70" s="287"/>
      <c r="G70" s="402"/>
      <c r="H70" s="305"/>
      <c r="I70" s="305"/>
      <c r="J70" s="305"/>
      <c r="K70" s="287"/>
    </row>
    <row r="71" spans="1:11" x14ac:dyDescent="0.25">
      <c r="A71" s="287"/>
      <c r="B71" s="287"/>
      <c r="C71" s="287"/>
      <c r="D71" s="287"/>
      <c r="E71" s="287"/>
      <c r="F71" s="287"/>
      <c r="G71" s="402"/>
      <c r="H71" s="305"/>
      <c r="I71" s="305"/>
      <c r="J71" s="305"/>
      <c r="K71" s="287"/>
    </row>
    <row r="72" spans="1:11" x14ac:dyDescent="0.25">
      <c r="A72" s="287"/>
      <c r="B72" s="287"/>
      <c r="C72" s="287"/>
      <c r="D72" s="287"/>
      <c r="E72" s="287"/>
      <c r="F72" s="287"/>
      <c r="G72" s="402"/>
      <c r="H72" s="305"/>
      <c r="I72" s="305"/>
      <c r="J72" s="305"/>
      <c r="K72" s="287"/>
    </row>
    <row r="73" spans="1:11" x14ac:dyDescent="0.25">
      <c r="A73" s="287"/>
      <c r="B73" s="287"/>
      <c r="C73" s="287"/>
      <c r="D73" s="287"/>
      <c r="E73" s="287"/>
      <c r="F73" s="287"/>
      <c r="G73" s="402"/>
      <c r="H73" s="305"/>
      <c r="I73" s="305"/>
      <c r="J73" s="305"/>
      <c r="K73" s="287"/>
    </row>
    <row r="74" spans="1:11" x14ac:dyDescent="0.25">
      <c r="A74" s="287"/>
      <c r="B74" s="287"/>
      <c r="C74" s="287"/>
      <c r="D74" s="287"/>
      <c r="E74" s="287"/>
      <c r="F74" s="287"/>
      <c r="G74" s="402"/>
      <c r="H74" s="305"/>
      <c r="I74" s="305"/>
      <c r="J74" s="305"/>
      <c r="K74" s="287"/>
    </row>
    <row r="75" spans="1:11" x14ac:dyDescent="0.25">
      <c r="A75" s="287"/>
      <c r="B75" s="287"/>
      <c r="C75" s="287"/>
      <c r="D75" s="287"/>
      <c r="E75" s="287"/>
      <c r="F75" s="287"/>
      <c r="G75" s="402"/>
      <c r="H75" s="305"/>
      <c r="I75" s="305"/>
      <c r="J75" s="305"/>
      <c r="K75" s="287"/>
    </row>
    <row r="76" spans="1:11" x14ac:dyDescent="0.25">
      <c r="A76" s="287"/>
      <c r="B76" s="287"/>
      <c r="C76" s="287"/>
      <c r="D76" s="287"/>
      <c r="E76" s="287"/>
      <c r="F76" s="287"/>
      <c r="G76" s="402"/>
      <c r="H76" s="305"/>
      <c r="I76" s="305"/>
      <c r="J76" s="305"/>
      <c r="K76" s="287"/>
    </row>
    <row r="77" spans="1:11" x14ac:dyDescent="0.25">
      <c r="A77" s="287"/>
      <c r="B77" s="287"/>
      <c r="C77" s="287"/>
      <c r="D77" s="287"/>
      <c r="E77" s="287"/>
      <c r="F77" s="287"/>
      <c r="G77" s="402"/>
      <c r="H77" s="305"/>
      <c r="I77" s="305"/>
      <c r="J77" s="305"/>
      <c r="K77" s="287"/>
    </row>
    <row r="78" spans="1:11" x14ac:dyDescent="0.25">
      <c r="A78" s="287"/>
      <c r="B78" s="287"/>
      <c r="C78" s="287"/>
      <c r="D78" s="287"/>
      <c r="E78" s="287"/>
      <c r="F78" s="287"/>
      <c r="G78" s="402"/>
      <c r="H78" s="305"/>
      <c r="I78" s="305"/>
      <c r="J78" s="305"/>
      <c r="K78" s="287"/>
    </row>
    <row r="79" spans="1:11" x14ac:dyDescent="0.25">
      <c r="A79" s="287"/>
      <c r="B79" s="287"/>
      <c r="C79" s="287"/>
      <c r="D79" s="287"/>
      <c r="E79" s="287"/>
      <c r="F79" s="287"/>
      <c r="G79" s="402"/>
      <c r="H79" s="305"/>
      <c r="I79" s="305"/>
      <c r="J79" s="305"/>
      <c r="K79" s="287"/>
    </row>
    <row r="80" spans="1:11" x14ac:dyDescent="0.25">
      <c r="A80" s="287"/>
      <c r="B80" s="287"/>
      <c r="C80" s="287"/>
      <c r="D80" s="287"/>
      <c r="E80" s="287"/>
      <c r="F80" s="287"/>
      <c r="G80" s="402"/>
      <c r="H80" s="305"/>
      <c r="I80" s="305"/>
      <c r="J80" s="305"/>
      <c r="K80" s="287"/>
    </row>
    <row r="81" spans="1:11" x14ac:dyDescent="0.25">
      <c r="A81" s="287"/>
      <c r="B81" s="287"/>
      <c r="C81" s="287"/>
      <c r="D81" s="287"/>
      <c r="E81" s="287"/>
      <c r="F81" s="287"/>
      <c r="G81" s="402"/>
      <c r="H81" s="305"/>
      <c r="I81" s="305"/>
      <c r="J81" s="305"/>
      <c r="K81" s="287"/>
    </row>
    <row r="82" spans="1:11" x14ac:dyDescent="0.25">
      <c r="A82" s="287"/>
      <c r="B82" s="287"/>
      <c r="C82" s="287"/>
      <c r="D82" s="287"/>
      <c r="E82" s="287"/>
      <c r="F82" s="287"/>
      <c r="G82" s="402"/>
      <c r="H82" s="305"/>
      <c r="I82" s="305"/>
      <c r="J82" s="305"/>
      <c r="K82" s="287"/>
    </row>
    <row r="83" spans="1:11" x14ac:dyDescent="0.25">
      <c r="A83" s="287"/>
      <c r="B83" s="287"/>
      <c r="C83" s="287"/>
      <c r="D83" s="287"/>
      <c r="E83" s="287"/>
      <c r="F83" s="287"/>
      <c r="G83" s="402"/>
      <c r="H83" s="305"/>
      <c r="I83" s="305"/>
      <c r="J83" s="305"/>
      <c r="K83" s="287"/>
    </row>
    <row r="84" spans="1:11" x14ac:dyDescent="0.25">
      <c r="A84" s="287"/>
      <c r="B84" s="287"/>
      <c r="C84" s="287"/>
      <c r="D84" s="287"/>
      <c r="E84" s="287"/>
      <c r="F84" s="287"/>
      <c r="G84" s="402"/>
      <c r="H84" s="305"/>
      <c r="I84" s="305"/>
      <c r="J84" s="305"/>
      <c r="K84" s="287"/>
    </row>
    <row r="85" spans="1:11" x14ac:dyDescent="0.25">
      <c r="A85" s="287"/>
      <c r="B85" s="287"/>
      <c r="C85" s="287"/>
      <c r="D85" s="287"/>
      <c r="E85" s="287"/>
      <c r="F85" s="287"/>
      <c r="G85" s="402"/>
      <c r="H85" s="305"/>
      <c r="I85" s="305"/>
      <c r="J85" s="305"/>
      <c r="K85" s="287"/>
    </row>
    <row r="86" spans="1:11" x14ac:dyDescent="0.25">
      <c r="A86" s="287"/>
      <c r="B86" s="287"/>
      <c r="C86" s="287"/>
      <c r="D86" s="287"/>
      <c r="E86" s="287"/>
      <c r="F86" s="287"/>
      <c r="G86" s="402"/>
      <c r="H86" s="305"/>
      <c r="I86" s="305"/>
      <c r="J86" s="305"/>
      <c r="K86" s="287"/>
    </row>
    <row r="87" spans="1:11" x14ac:dyDescent="0.25">
      <c r="A87" s="287"/>
      <c r="B87" s="287"/>
      <c r="C87" s="287"/>
      <c r="D87" s="287"/>
      <c r="E87" s="287"/>
      <c r="F87" s="287"/>
      <c r="G87" s="402"/>
      <c r="H87" s="305"/>
      <c r="I87" s="305"/>
      <c r="J87" s="305"/>
      <c r="K87" s="287"/>
    </row>
    <row r="88" spans="1:11" x14ac:dyDescent="0.25">
      <c r="A88" s="287"/>
      <c r="B88" s="287"/>
      <c r="C88" s="287"/>
      <c r="D88" s="287"/>
      <c r="E88" s="287"/>
      <c r="F88" s="287"/>
      <c r="G88" s="402"/>
      <c r="H88" s="305"/>
      <c r="I88" s="305"/>
      <c r="J88" s="305"/>
      <c r="K88" s="287"/>
    </row>
    <row r="89" spans="1:11" x14ac:dyDescent="0.25">
      <c r="A89" s="287"/>
      <c r="B89" s="287"/>
      <c r="C89" s="287"/>
      <c r="D89" s="287"/>
      <c r="E89" s="287"/>
      <c r="F89" s="287"/>
      <c r="G89" s="402"/>
      <c r="H89" s="305"/>
      <c r="I89" s="305"/>
      <c r="J89" s="305"/>
      <c r="K89" s="287"/>
    </row>
    <row r="90" spans="1:11" x14ac:dyDescent="0.25">
      <c r="A90" s="287"/>
      <c r="B90" s="287"/>
      <c r="C90" s="287"/>
      <c r="D90" s="287"/>
      <c r="E90" s="287"/>
      <c r="F90" s="287"/>
      <c r="G90" s="402"/>
      <c r="H90" s="305"/>
      <c r="I90" s="305"/>
      <c r="J90" s="305"/>
      <c r="K90" s="287"/>
    </row>
    <row r="91" spans="1:11" x14ac:dyDescent="0.25">
      <c r="A91" s="287"/>
      <c r="B91" s="287"/>
      <c r="C91" s="287"/>
      <c r="D91" s="287"/>
      <c r="E91" s="287"/>
      <c r="F91" s="287"/>
      <c r="G91" s="402"/>
      <c r="H91" s="305"/>
      <c r="I91" s="305"/>
      <c r="J91" s="305"/>
      <c r="K91" s="287"/>
    </row>
    <row r="92" spans="1:11" x14ac:dyDescent="0.25">
      <c r="A92" s="287"/>
      <c r="B92" s="287"/>
      <c r="C92" s="287"/>
      <c r="D92" s="287"/>
      <c r="E92" s="287"/>
      <c r="F92" s="287"/>
      <c r="G92" s="402"/>
      <c r="H92" s="305"/>
      <c r="I92" s="305"/>
      <c r="J92" s="305"/>
      <c r="K92" s="287"/>
    </row>
    <row r="93" spans="1:11" x14ac:dyDescent="0.25">
      <c r="A93" s="287"/>
      <c r="B93" s="287"/>
      <c r="C93" s="287"/>
      <c r="D93" s="287"/>
      <c r="E93" s="287"/>
      <c r="F93" s="287"/>
      <c r="G93" s="402"/>
      <c r="H93" s="305"/>
      <c r="I93" s="305"/>
      <c r="J93" s="305"/>
      <c r="K93" s="287"/>
    </row>
    <row r="94" spans="1:11" x14ac:dyDescent="0.25">
      <c r="A94" s="287"/>
      <c r="B94" s="287"/>
      <c r="C94" s="287"/>
      <c r="D94" s="287"/>
      <c r="E94" s="287"/>
      <c r="F94" s="287"/>
      <c r="G94" s="402"/>
      <c r="H94" s="305"/>
      <c r="I94" s="305"/>
      <c r="J94" s="305"/>
      <c r="K94" s="287"/>
    </row>
    <row r="95" spans="1:11" x14ac:dyDescent="0.25">
      <c r="A95" s="287"/>
      <c r="B95" s="287"/>
      <c r="C95" s="287"/>
      <c r="D95" s="287"/>
      <c r="E95" s="287"/>
      <c r="F95" s="287"/>
      <c r="G95" s="402"/>
      <c r="H95" s="305"/>
      <c r="I95" s="305"/>
      <c r="J95" s="305"/>
      <c r="K95" s="287"/>
    </row>
    <row r="96" spans="1:11" x14ac:dyDescent="0.25">
      <c r="A96" s="287"/>
      <c r="B96" s="287"/>
      <c r="C96" s="287"/>
      <c r="D96" s="287"/>
      <c r="E96" s="287"/>
      <c r="F96" s="287"/>
      <c r="G96" s="402"/>
      <c r="H96" s="305"/>
      <c r="I96" s="305"/>
      <c r="J96" s="305"/>
      <c r="K96" s="287"/>
    </row>
    <row r="97" spans="1:11" x14ac:dyDescent="0.25">
      <c r="A97" s="287"/>
      <c r="B97" s="287"/>
      <c r="C97" s="287"/>
      <c r="D97" s="287"/>
      <c r="E97" s="287"/>
      <c r="F97" s="287"/>
      <c r="G97" s="402"/>
      <c r="H97" s="305"/>
      <c r="I97" s="305"/>
      <c r="J97" s="305"/>
      <c r="K97" s="287"/>
    </row>
    <row r="98" spans="1:11" x14ac:dyDescent="0.25">
      <c r="A98" s="287"/>
      <c r="B98" s="287"/>
      <c r="C98" s="287"/>
      <c r="D98" s="287"/>
      <c r="E98" s="287"/>
      <c r="F98" s="287"/>
      <c r="G98" s="402"/>
      <c r="H98" s="305"/>
      <c r="I98" s="305"/>
      <c r="J98" s="305"/>
      <c r="K98" s="287"/>
    </row>
    <row r="99" spans="1:11" x14ac:dyDescent="0.25">
      <c r="A99" s="287"/>
      <c r="B99" s="287"/>
      <c r="C99" s="287"/>
      <c r="D99" s="287"/>
      <c r="E99" s="287"/>
      <c r="F99" s="287"/>
      <c r="G99" s="402"/>
      <c r="H99" s="305"/>
      <c r="I99" s="305"/>
      <c r="J99" s="305"/>
      <c r="K99" s="287"/>
    </row>
    <row r="100" spans="1:11" x14ac:dyDescent="0.25">
      <c r="A100" s="287"/>
      <c r="B100" s="287"/>
      <c r="C100" s="287"/>
      <c r="D100" s="287"/>
      <c r="E100" s="287"/>
      <c r="F100" s="287"/>
      <c r="G100" s="402"/>
      <c r="H100" s="305"/>
      <c r="I100" s="305"/>
      <c r="J100" s="305"/>
      <c r="K100" s="287"/>
    </row>
    <row r="101" spans="1:11" x14ac:dyDescent="0.25">
      <c r="A101" s="287"/>
      <c r="B101" s="287"/>
      <c r="C101" s="287"/>
      <c r="D101" s="287"/>
      <c r="E101" s="287"/>
      <c r="F101" s="287"/>
      <c r="G101" s="402"/>
      <c r="H101" s="305"/>
      <c r="I101" s="305"/>
      <c r="J101" s="305"/>
      <c r="K101" s="287"/>
    </row>
    <row r="102" spans="1:11" x14ac:dyDescent="0.25">
      <c r="A102" s="287"/>
      <c r="B102" s="287"/>
      <c r="C102" s="287"/>
      <c r="D102" s="287"/>
      <c r="E102" s="287"/>
      <c r="F102" s="287"/>
      <c r="G102" s="402"/>
      <c r="H102" s="305"/>
      <c r="I102" s="305"/>
      <c r="J102" s="305"/>
      <c r="K102" s="287"/>
    </row>
    <row r="103" spans="1:11" x14ac:dyDescent="0.25">
      <c r="A103" s="287"/>
      <c r="B103" s="287"/>
      <c r="C103" s="287"/>
      <c r="D103" s="287"/>
      <c r="E103" s="287"/>
      <c r="F103" s="287"/>
      <c r="G103" s="402"/>
      <c r="H103" s="305"/>
      <c r="I103" s="305"/>
      <c r="J103" s="305"/>
      <c r="K103" s="287"/>
    </row>
    <row r="104" spans="1:11" x14ac:dyDescent="0.25">
      <c r="A104" s="287"/>
      <c r="B104" s="287"/>
      <c r="C104" s="287"/>
      <c r="D104" s="287"/>
      <c r="E104" s="287"/>
      <c r="F104" s="287"/>
      <c r="G104" s="402"/>
      <c r="H104" s="305"/>
      <c r="I104" s="305"/>
      <c r="J104" s="305"/>
      <c r="K104" s="287"/>
    </row>
    <row r="105" spans="1:11" x14ac:dyDescent="0.25">
      <c r="A105" s="287"/>
      <c r="B105" s="287"/>
      <c r="C105" s="287"/>
      <c r="D105" s="287"/>
      <c r="E105" s="287"/>
      <c r="F105" s="287"/>
      <c r="G105" s="402"/>
      <c r="H105" s="305"/>
      <c r="I105" s="305"/>
      <c r="J105" s="305"/>
      <c r="K105" s="287"/>
    </row>
    <row r="106" spans="1:11" x14ac:dyDescent="0.25">
      <c r="A106" s="287"/>
      <c r="B106" s="287"/>
      <c r="C106" s="287"/>
      <c r="D106" s="287"/>
      <c r="E106" s="287"/>
      <c r="F106" s="287"/>
      <c r="G106" s="402"/>
      <c r="H106" s="305"/>
      <c r="I106" s="305"/>
      <c r="J106" s="305"/>
      <c r="K106" s="287"/>
    </row>
    <row r="107" spans="1:11" x14ac:dyDescent="0.25">
      <c r="A107" s="287"/>
      <c r="B107" s="287"/>
      <c r="C107" s="287"/>
      <c r="D107" s="287"/>
      <c r="E107" s="287"/>
      <c r="F107" s="287"/>
      <c r="G107" s="402"/>
      <c r="H107" s="305"/>
      <c r="I107" s="305"/>
      <c r="J107" s="305"/>
      <c r="K107" s="287"/>
    </row>
    <row r="108" spans="1:11" x14ac:dyDescent="0.25">
      <c r="A108" s="287"/>
      <c r="B108" s="287"/>
      <c r="C108" s="287"/>
      <c r="D108" s="287"/>
      <c r="E108" s="287"/>
      <c r="F108" s="287"/>
      <c r="G108" s="402"/>
      <c r="H108" s="305"/>
      <c r="I108" s="305"/>
      <c r="J108" s="305"/>
      <c r="K108" s="287"/>
    </row>
    <row r="109" spans="1:11" x14ac:dyDescent="0.25">
      <c r="A109" s="287"/>
      <c r="B109" s="287"/>
      <c r="C109" s="287"/>
      <c r="D109" s="287"/>
      <c r="E109" s="287"/>
      <c r="F109" s="287"/>
      <c r="G109" s="402"/>
      <c r="H109" s="305"/>
      <c r="I109" s="305"/>
      <c r="J109" s="305"/>
      <c r="K109" s="287"/>
    </row>
    <row r="110" spans="1:11" x14ac:dyDescent="0.25">
      <c r="A110" s="287"/>
      <c r="B110" s="287"/>
      <c r="C110" s="287"/>
      <c r="D110" s="287"/>
      <c r="E110" s="287"/>
      <c r="F110" s="287"/>
      <c r="G110" s="402"/>
      <c r="H110" s="305"/>
      <c r="I110" s="305"/>
      <c r="J110" s="305"/>
      <c r="K110" s="287"/>
    </row>
    <row r="111" spans="1:11" x14ac:dyDescent="0.25">
      <c r="A111" s="287"/>
      <c r="B111" s="287"/>
      <c r="C111" s="287"/>
      <c r="D111" s="287"/>
      <c r="E111" s="287"/>
      <c r="F111" s="287"/>
      <c r="G111" s="402"/>
      <c r="H111" s="305"/>
      <c r="I111" s="305"/>
      <c r="J111" s="305"/>
      <c r="K111" s="287"/>
    </row>
    <row r="112" spans="1:11" x14ac:dyDescent="0.25">
      <c r="A112" s="287"/>
      <c r="B112" s="287"/>
      <c r="C112" s="287"/>
      <c r="D112" s="287"/>
      <c r="E112" s="287"/>
      <c r="F112" s="287"/>
      <c r="G112" s="402"/>
      <c r="H112" s="305"/>
      <c r="I112" s="305"/>
      <c r="J112" s="305"/>
      <c r="K112" s="287"/>
    </row>
    <row r="113" spans="1:11" x14ac:dyDescent="0.25">
      <c r="A113" s="287"/>
      <c r="B113" s="287"/>
      <c r="C113" s="287"/>
      <c r="D113" s="287"/>
      <c r="E113" s="287"/>
      <c r="F113" s="287"/>
      <c r="G113" s="402"/>
      <c r="H113" s="305"/>
      <c r="I113" s="305"/>
      <c r="J113" s="305"/>
      <c r="K113" s="287"/>
    </row>
    <row r="114" spans="1:11" x14ac:dyDescent="0.25">
      <c r="A114" s="287"/>
      <c r="B114" s="287"/>
      <c r="C114" s="287"/>
      <c r="D114" s="287"/>
      <c r="E114" s="287"/>
      <c r="F114" s="287"/>
      <c r="G114" s="402"/>
      <c r="H114" s="305"/>
      <c r="I114" s="305"/>
      <c r="J114" s="305"/>
      <c r="K114" s="287"/>
    </row>
    <row r="115" spans="1:11" x14ac:dyDescent="0.25">
      <c r="A115" s="287"/>
      <c r="B115" s="287"/>
      <c r="C115" s="287"/>
      <c r="D115" s="287"/>
      <c r="E115" s="287"/>
      <c r="F115" s="287"/>
      <c r="G115" s="402"/>
      <c r="H115" s="305"/>
      <c r="I115" s="305"/>
      <c r="J115" s="305"/>
      <c r="K115" s="287"/>
    </row>
    <row r="116" spans="1:11" x14ac:dyDescent="0.25">
      <c r="A116" s="287"/>
      <c r="B116" s="287"/>
      <c r="C116" s="287"/>
      <c r="D116" s="287"/>
      <c r="E116" s="287"/>
      <c r="F116" s="287"/>
      <c r="G116" s="402"/>
      <c r="H116" s="305"/>
      <c r="I116" s="305"/>
      <c r="J116" s="305"/>
      <c r="K116" s="287"/>
    </row>
    <row r="117" spans="1:11" x14ac:dyDescent="0.25">
      <c r="A117" s="287"/>
      <c r="B117" s="287"/>
      <c r="C117" s="287"/>
      <c r="D117" s="287"/>
      <c r="E117" s="287"/>
      <c r="F117" s="287"/>
      <c r="G117" s="402"/>
      <c r="H117" s="305"/>
      <c r="I117" s="305"/>
      <c r="J117" s="305"/>
      <c r="K117" s="287"/>
    </row>
    <row r="118" spans="1:11" x14ac:dyDescent="0.25">
      <c r="A118" s="287"/>
      <c r="B118" s="287"/>
      <c r="C118" s="287"/>
      <c r="D118" s="287"/>
      <c r="E118" s="287"/>
      <c r="F118" s="287"/>
      <c r="G118" s="402"/>
      <c r="H118" s="305"/>
      <c r="I118" s="305"/>
      <c r="J118" s="305"/>
      <c r="K118" s="287"/>
    </row>
    <row r="119" spans="1:11" x14ac:dyDescent="0.25">
      <c r="A119" s="287"/>
      <c r="B119" s="287"/>
      <c r="C119" s="287"/>
      <c r="D119" s="287"/>
      <c r="E119" s="287"/>
      <c r="F119" s="287"/>
      <c r="G119" s="402"/>
      <c r="H119" s="305"/>
      <c r="I119" s="305"/>
      <c r="J119" s="305"/>
      <c r="K119" s="287"/>
    </row>
    <row r="120" spans="1:11" x14ac:dyDescent="0.25">
      <c r="A120" s="287"/>
      <c r="B120" s="287"/>
      <c r="C120" s="287"/>
      <c r="D120" s="287"/>
      <c r="E120" s="287"/>
      <c r="F120" s="287"/>
      <c r="G120" s="402"/>
      <c r="H120" s="305"/>
      <c r="I120" s="305"/>
      <c r="J120" s="305"/>
      <c r="K120" s="287"/>
    </row>
    <row r="121" spans="1:11" x14ac:dyDescent="0.25">
      <c r="A121" s="287"/>
      <c r="B121" s="287"/>
      <c r="C121" s="287"/>
      <c r="D121" s="287"/>
      <c r="E121" s="287"/>
      <c r="F121" s="287"/>
      <c r="G121" s="402"/>
      <c r="H121" s="305"/>
      <c r="I121" s="305"/>
      <c r="J121" s="305"/>
      <c r="K121" s="287"/>
    </row>
    <row r="122" spans="1:11" x14ac:dyDescent="0.25">
      <c r="A122" s="287"/>
      <c r="B122" s="287"/>
      <c r="C122" s="287"/>
      <c r="D122" s="287"/>
      <c r="E122" s="287"/>
      <c r="F122" s="287"/>
      <c r="G122" s="402"/>
      <c r="H122" s="305"/>
      <c r="I122" s="305"/>
      <c r="J122" s="305"/>
      <c r="K122" s="287"/>
    </row>
    <row r="123" spans="1:11" x14ac:dyDescent="0.25">
      <c r="A123" s="287"/>
      <c r="B123" s="287"/>
      <c r="C123" s="287"/>
      <c r="D123" s="287"/>
      <c r="E123" s="287"/>
      <c r="F123" s="287"/>
      <c r="G123" s="402"/>
      <c r="H123" s="305"/>
      <c r="I123" s="305"/>
      <c r="J123" s="305"/>
      <c r="K123" s="287"/>
    </row>
    <row r="124" spans="1:11" x14ac:dyDescent="0.25">
      <c r="A124" s="287"/>
      <c r="B124" s="287"/>
      <c r="C124" s="287"/>
      <c r="D124" s="287"/>
      <c r="E124" s="287"/>
      <c r="F124" s="287"/>
      <c r="G124" s="402"/>
      <c r="H124" s="305"/>
      <c r="I124" s="305"/>
      <c r="J124" s="305"/>
      <c r="K124" s="287"/>
    </row>
    <row r="125" spans="1:11" x14ac:dyDescent="0.25">
      <c r="A125" s="287"/>
      <c r="B125" s="287"/>
      <c r="C125" s="287"/>
      <c r="D125" s="287"/>
      <c r="E125" s="287"/>
      <c r="F125" s="287"/>
      <c r="G125" s="402"/>
      <c r="H125" s="305"/>
      <c r="I125" s="305"/>
      <c r="J125" s="305"/>
      <c r="K125" s="287"/>
    </row>
    <row r="126" spans="1:11" x14ac:dyDescent="0.25">
      <c r="A126" s="287"/>
      <c r="B126" s="287"/>
      <c r="C126" s="287"/>
      <c r="D126" s="287"/>
      <c r="E126" s="287"/>
      <c r="F126" s="287"/>
      <c r="G126" s="402"/>
      <c r="H126" s="305"/>
      <c r="I126" s="305"/>
      <c r="J126" s="305"/>
      <c r="K126" s="287"/>
    </row>
    <row r="127" spans="1:11" x14ac:dyDescent="0.25">
      <c r="A127" s="287"/>
      <c r="B127" s="287"/>
      <c r="C127" s="287"/>
      <c r="D127" s="287"/>
      <c r="E127" s="287"/>
      <c r="F127" s="287"/>
      <c r="G127" s="402"/>
      <c r="H127" s="305"/>
      <c r="I127" s="305"/>
      <c r="J127" s="305"/>
      <c r="K127" s="287"/>
    </row>
    <row r="128" spans="1:11" x14ac:dyDescent="0.25">
      <c r="A128" s="287"/>
      <c r="B128" s="287"/>
      <c r="C128" s="287"/>
      <c r="D128" s="287"/>
      <c r="E128" s="287"/>
      <c r="F128" s="287"/>
      <c r="G128" s="402"/>
      <c r="H128" s="305"/>
      <c r="I128" s="305"/>
      <c r="J128" s="305"/>
      <c r="K128" s="287"/>
    </row>
    <row r="129" spans="1:11" x14ac:dyDescent="0.25">
      <c r="A129" s="287"/>
      <c r="B129" s="287"/>
      <c r="C129" s="287"/>
      <c r="D129" s="287"/>
      <c r="E129" s="287"/>
      <c r="F129" s="287"/>
      <c r="G129" s="402"/>
      <c r="H129" s="305"/>
      <c r="I129" s="305"/>
      <c r="J129" s="305"/>
      <c r="K129" s="287"/>
    </row>
    <row r="130" spans="1:11" x14ac:dyDescent="0.25">
      <c r="A130" s="287"/>
      <c r="B130" s="287"/>
      <c r="C130" s="287"/>
      <c r="D130" s="287"/>
      <c r="E130" s="287"/>
      <c r="F130" s="287"/>
      <c r="G130" s="402"/>
      <c r="H130" s="305"/>
      <c r="I130" s="305"/>
      <c r="J130" s="305"/>
      <c r="K130" s="287"/>
    </row>
    <row r="131" spans="1:11" x14ac:dyDescent="0.25">
      <c r="A131" s="287"/>
      <c r="B131" s="287"/>
      <c r="C131" s="287"/>
      <c r="D131" s="287"/>
      <c r="E131" s="287"/>
      <c r="F131" s="287"/>
      <c r="G131" s="402"/>
      <c r="H131" s="305"/>
      <c r="I131" s="305"/>
      <c r="J131" s="305"/>
      <c r="K131" s="287"/>
    </row>
    <row r="132" spans="1:11" x14ac:dyDescent="0.25">
      <c r="A132" s="287"/>
      <c r="B132" s="287"/>
      <c r="C132" s="287"/>
      <c r="D132" s="287"/>
      <c r="E132" s="287"/>
      <c r="F132" s="287"/>
      <c r="G132" s="402"/>
      <c r="H132" s="305"/>
      <c r="I132" s="305"/>
      <c r="J132" s="305"/>
      <c r="K132" s="287"/>
    </row>
    <row r="133" spans="1:11" x14ac:dyDescent="0.25">
      <c r="A133" s="287"/>
      <c r="B133" s="287"/>
      <c r="C133" s="287"/>
      <c r="D133" s="287"/>
      <c r="E133" s="287"/>
      <c r="F133" s="287"/>
      <c r="G133" s="402"/>
      <c r="H133" s="305"/>
      <c r="I133" s="305"/>
      <c r="J133" s="305"/>
      <c r="K133" s="287"/>
    </row>
    <row r="134" spans="1:11" x14ac:dyDescent="0.25">
      <c r="A134" s="287"/>
      <c r="B134" s="287"/>
      <c r="C134" s="287"/>
      <c r="D134" s="287"/>
      <c r="E134" s="287"/>
      <c r="F134" s="287"/>
      <c r="G134" s="402"/>
      <c r="H134" s="305"/>
      <c r="I134" s="305"/>
      <c r="J134" s="305"/>
      <c r="K134" s="287"/>
    </row>
    <row r="135" spans="1:11" x14ac:dyDescent="0.25">
      <c r="A135" s="287"/>
      <c r="B135" s="287"/>
      <c r="C135" s="287"/>
      <c r="D135" s="287"/>
      <c r="E135" s="287"/>
      <c r="F135" s="287"/>
      <c r="G135" s="402"/>
      <c r="H135" s="305"/>
      <c r="I135" s="305"/>
      <c r="J135" s="305"/>
      <c r="K135" s="287"/>
    </row>
    <row r="136" spans="1:11" x14ac:dyDescent="0.25">
      <c r="A136" s="287"/>
      <c r="B136" s="287"/>
      <c r="C136" s="287"/>
      <c r="D136" s="287"/>
      <c r="E136" s="287"/>
      <c r="F136" s="287"/>
      <c r="G136" s="402"/>
      <c r="H136" s="305"/>
      <c r="I136" s="305"/>
      <c r="J136" s="305"/>
      <c r="K136" s="287"/>
    </row>
    <row r="137" spans="1:11" x14ac:dyDescent="0.25">
      <c r="A137" s="287"/>
      <c r="B137" s="287"/>
      <c r="C137" s="287"/>
      <c r="D137" s="287"/>
      <c r="E137" s="287"/>
      <c r="F137" s="287"/>
      <c r="G137" s="402"/>
      <c r="H137" s="305"/>
      <c r="I137" s="305"/>
      <c r="J137" s="305"/>
      <c r="K137" s="287"/>
    </row>
    <row r="138" spans="1:11" x14ac:dyDescent="0.25">
      <c r="A138" s="287"/>
      <c r="B138" s="287"/>
      <c r="C138" s="287"/>
      <c r="D138" s="287"/>
      <c r="E138" s="287"/>
      <c r="F138" s="287"/>
      <c r="G138" s="402"/>
      <c r="H138" s="305"/>
      <c r="I138" s="305"/>
      <c r="J138" s="305"/>
      <c r="K138" s="287"/>
    </row>
    <row r="139" spans="1:11" x14ac:dyDescent="0.25">
      <c r="A139" s="287"/>
      <c r="B139" s="287"/>
      <c r="C139" s="287"/>
      <c r="D139" s="287"/>
      <c r="E139" s="287"/>
      <c r="F139" s="287"/>
      <c r="G139" s="402"/>
      <c r="H139" s="305"/>
      <c r="I139" s="305"/>
      <c r="J139" s="305"/>
      <c r="K139" s="287"/>
    </row>
    <row r="140" spans="1:11" x14ac:dyDescent="0.25">
      <c r="A140" s="287"/>
      <c r="B140" s="287"/>
      <c r="C140" s="287"/>
      <c r="D140" s="287"/>
      <c r="E140" s="287"/>
      <c r="F140" s="287"/>
      <c r="G140" s="402"/>
      <c r="H140" s="305"/>
      <c r="I140" s="305"/>
      <c r="J140" s="305"/>
      <c r="K140" s="287"/>
    </row>
    <row r="141" spans="1:11" x14ac:dyDescent="0.25">
      <c r="A141" s="287"/>
      <c r="B141" s="287"/>
      <c r="C141" s="287"/>
      <c r="D141" s="287"/>
      <c r="E141" s="287"/>
      <c r="F141" s="287"/>
      <c r="G141" s="402"/>
      <c r="H141" s="305"/>
      <c r="I141" s="305"/>
      <c r="J141" s="305"/>
      <c r="K141" s="287"/>
    </row>
    <row r="142" spans="1:11" x14ac:dyDescent="0.25">
      <c r="A142" s="287"/>
      <c r="B142" s="287"/>
      <c r="C142" s="287"/>
      <c r="D142" s="287"/>
      <c r="E142" s="287"/>
      <c r="F142" s="287"/>
      <c r="G142" s="402"/>
      <c r="H142" s="305"/>
      <c r="I142" s="305"/>
      <c r="J142" s="305"/>
      <c r="K142" s="287"/>
    </row>
    <row r="143" spans="1:11" x14ac:dyDescent="0.25">
      <c r="A143" s="287"/>
      <c r="B143" s="287"/>
      <c r="C143" s="287"/>
      <c r="D143" s="287"/>
      <c r="E143" s="287"/>
      <c r="F143" s="287"/>
      <c r="G143" s="402"/>
      <c r="H143" s="305"/>
      <c r="I143" s="305"/>
      <c r="J143" s="305"/>
      <c r="K143" s="287"/>
    </row>
    <row r="144" spans="1:11" x14ac:dyDescent="0.25">
      <c r="A144" s="287"/>
      <c r="B144" s="287"/>
      <c r="C144" s="287"/>
      <c r="D144" s="287"/>
      <c r="E144" s="287"/>
      <c r="F144" s="287"/>
      <c r="G144" s="402"/>
      <c r="H144" s="305"/>
      <c r="I144" s="305"/>
      <c r="J144" s="305"/>
      <c r="K144" s="287"/>
    </row>
    <row r="145" spans="1:11" x14ac:dyDescent="0.25">
      <c r="A145" s="287"/>
      <c r="B145" s="287"/>
      <c r="C145" s="287"/>
      <c r="D145" s="287"/>
      <c r="E145" s="287"/>
      <c r="F145" s="287"/>
      <c r="G145" s="402"/>
      <c r="H145" s="305"/>
      <c r="I145" s="305"/>
      <c r="J145" s="305"/>
      <c r="K145" s="287"/>
    </row>
    <row r="146" spans="1:11" x14ac:dyDescent="0.25">
      <c r="A146" s="287"/>
      <c r="B146" s="287"/>
      <c r="C146" s="287"/>
      <c r="D146" s="287"/>
      <c r="E146" s="287"/>
      <c r="F146" s="287"/>
      <c r="G146" s="402"/>
      <c r="H146" s="305"/>
      <c r="I146" s="305"/>
      <c r="J146" s="305"/>
      <c r="K146" s="287"/>
    </row>
    <row r="147" spans="1:11" x14ac:dyDescent="0.25">
      <c r="A147" s="287"/>
      <c r="B147" s="287"/>
      <c r="C147" s="287"/>
      <c r="D147" s="287"/>
      <c r="E147" s="287"/>
      <c r="F147" s="287"/>
      <c r="G147" s="402"/>
      <c r="H147" s="305"/>
      <c r="I147" s="305"/>
      <c r="J147" s="305"/>
      <c r="K147" s="287"/>
    </row>
    <row r="148" spans="1:11" x14ac:dyDescent="0.25">
      <c r="A148" s="287"/>
      <c r="B148" s="287"/>
      <c r="C148" s="287"/>
      <c r="D148" s="287"/>
      <c r="E148" s="287"/>
      <c r="F148" s="287"/>
      <c r="G148" s="402"/>
      <c r="H148" s="305"/>
      <c r="I148" s="305"/>
      <c r="J148" s="305"/>
      <c r="K148" s="287"/>
    </row>
    <row r="149" spans="1:11" x14ac:dyDescent="0.25">
      <c r="A149" s="287"/>
      <c r="B149" s="287"/>
      <c r="C149" s="287"/>
      <c r="D149" s="287"/>
      <c r="E149" s="287"/>
      <c r="F149" s="287"/>
      <c r="G149" s="402"/>
      <c r="H149" s="305"/>
      <c r="I149" s="305"/>
      <c r="J149" s="305"/>
      <c r="K149" s="287"/>
    </row>
    <row r="150" spans="1:11" x14ac:dyDescent="0.25">
      <c r="A150" s="287"/>
      <c r="B150" s="287"/>
      <c r="C150" s="287"/>
      <c r="D150" s="287"/>
      <c r="E150" s="287"/>
      <c r="F150" s="287"/>
      <c r="G150" s="402"/>
      <c r="H150" s="305"/>
      <c r="I150" s="305"/>
      <c r="J150" s="305"/>
      <c r="K150" s="287"/>
    </row>
    <row r="151" spans="1:11" x14ac:dyDescent="0.25">
      <c r="A151" s="287"/>
      <c r="B151" s="287"/>
      <c r="C151" s="287"/>
      <c r="D151" s="287"/>
      <c r="E151" s="287"/>
      <c r="F151" s="287"/>
      <c r="G151" s="402"/>
      <c r="H151" s="305"/>
      <c r="I151" s="305"/>
      <c r="J151" s="305"/>
      <c r="K151" s="287"/>
    </row>
    <row r="152" spans="1:11" x14ac:dyDescent="0.25">
      <c r="A152" s="287"/>
      <c r="B152" s="287"/>
      <c r="C152" s="287"/>
      <c r="D152" s="287"/>
      <c r="E152" s="287"/>
      <c r="F152" s="287"/>
      <c r="G152" s="402"/>
      <c r="H152" s="305"/>
      <c r="I152" s="305"/>
      <c r="J152" s="305"/>
      <c r="K152" s="287"/>
    </row>
    <row r="153" spans="1:11" x14ac:dyDescent="0.25">
      <c r="A153" s="287"/>
      <c r="B153" s="287"/>
      <c r="C153" s="287"/>
      <c r="D153" s="287"/>
      <c r="E153" s="287"/>
      <c r="F153" s="287"/>
      <c r="G153" s="402"/>
      <c r="H153" s="305"/>
      <c r="I153" s="305"/>
      <c r="J153" s="305"/>
      <c r="K153" s="287"/>
    </row>
    <row r="154" spans="1:11" x14ac:dyDescent="0.25">
      <c r="A154" s="287"/>
      <c r="B154" s="287"/>
      <c r="C154" s="287"/>
      <c r="D154" s="287"/>
      <c r="E154" s="287"/>
      <c r="F154" s="287"/>
      <c r="G154" s="402"/>
      <c r="H154" s="305"/>
      <c r="I154" s="305"/>
      <c r="J154" s="305"/>
      <c r="K154" s="287"/>
    </row>
    <row r="155" spans="1:11" x14ac:dyDescent="0.25">
      <c r="A155" s="287"/>
      <c r="B155" s="287"/>
      <c r="C155" s="287"/>
      <c r="D155" s="287"/>
      <c r="E155" s="287"/>
      <c r="F155" s="287"/>
      <c r="G155" s="402"/>
      <c r="H155" s="305"/>
      <c r="I155" s="305"/>
      <c r="J155" s="305"/>
      <c r="K155" s="287"/>
    </row>
    <row r="156" spans="1:11" x14ac:dyDescent="0.25">
      <c r="A156" s="287"/>
      <c r="B156" s="287"/>
      <c r="C156" s="287"/>
      <c r="D156" s="287"/>
      <c r="E156" s="287"/>
      <c r="F156" s="287"/>
      <c r="G156" s="402"/>
      <c r="H156" s="305"/>
      <c r="I156" s="305"/>
      <c r="J156" s="305"/>
      <c r="K156" s="287"/>
    </row>
    <row r="157" spans="1:11" x14ac:dyDescent="0.25">
      <c r="A157" s="287"/>
      <c r="B157" s="287"/>
      <c r="C157" s="287"/>
      <c r="D157" s="287"/>
      <c r="E157" s="287"/>
      <c r="F157" s="287"/>
      <c r="G157" s="402"/>
      <c r="H157" s="305"/>
      <c r="I157" s="305"/>
      <c r="J157" s="305"/>
      <c r="K157" s="287"/>
    </row>
    <row r="158" spans="1:11" x14ac:dyDescent="0.25">
      <c r="A158" s="287"/>
      <c r="B158" s="287"/>
      <c r="C158" s="287"/>
      <c r="D158" s="287"/>
      <c r="E158" s="287"/>
      <c r="F158" s="287"/>
      <c r="G158" s="402"/>
      <c r="H158" s="305"/>
      <c r="I158" s="305"/>
      <c r="J158" s="305"/>
      <c r="K158" s="287"/>
    </row>
    <row r="159" spans="1:11" x14ac:dyDescent="0.25">
      <c r="A159" s="287"/>
      <c r="B159" s="287"/>
      <c r="C159" s="287"/>
      <c r="D159" s="287"/>
      <c r="E159" s="287"/>
      <c r="F159" s="287"/>
      <c r="G159" s="402"/>
      <c r="H159" s="305"/>
      <c r="I159" s="305"/>
      <c r="J159" s="305"/>
      <c r="K159" s="287"/>
    </row>
    <row r="160" spans="1:11" x14ac:dyDescent="0.25">
      <c r="A160" s="287"/>
      <c r="B160" s="287"/>
      <c r="C160" s="287"/>
      <c r="D160" s="287"/>
      <c r="E160" s="287"/>
      <c r="F160" s="287"/>
      <c r="G160" s="402"/>
      <c r="H160" s="305"/>
      <c r="I160" s="305"/>
      <c r="J160" s="305"/>
      <c r="K160" s="287"/>
    </row>
    <row r="161" spans="1:11" x14ac:dyDescent="0.25">
      <c r="A161" s="287"/>
      <c r="B161" s="287"/>
      <c r="C161" s="287"/>
      <c r="D161" s="287"/>
      <c r="E161" s="287"/>
      <c r="F161" s="287"/>
      <c r="G161" s="402"/>
      <c r="H161" s="305"/>
      <c r="I161" s="305"/>
      <c r="J161" s="305"/>
      <c r="K161" s="287"/>
    </row>
    <row r="162" spans="1:11" x14ac:dyDescent="0.25">
      <c r="A162" s="287"/>
      <c r="B162" s="287"/>
      <c r="C162" s="287"/>
      <c r="D162" s="287"/>
      <c r="E162" s="287"/>
      <c r="F162" s="287"/>
      <c r="G162" s="402"/>
      <c r="H162" s="305"/>
      <c r="I162" s="305"/>
      <c r="J162" s="305"/>
      <c r="K162" s="287"/>
    </row>
    <row r="163" spans="1:11" x14ac:dyDescent="0.25">
      <c r="A163" s="287"/>
      <c r="B163" s="287"/>
      <c r="C163" s="287"/>
      <c r="D163" s="287"/>
      <c r="E163" s="287"/>
      <c r="F163" s="287"/>
      <c r="G163" s="402"/>
      <c r="H163" s="305"/>
      <c r="I163" s="305"/>
      <c r="J163" s="305"/>
      <c r="K163" s="287"/>
    </row>
    <row r="164" spans="1:11" x14ac:dyDescent="0.25">
      <c r="A164" s="287"/>
      <c r="B164" s="287"/>
      <c r="C164" s="287"/>
      <c r="D164" s="287"/>
      <c r="E164" s="287"/>
      <c r="F164" s="287"/>
      <c r="G164" s="402"/>
      <c r="H164" s="305"/>
      <c r="I164" s="305"/>
      <c r="J164" s="305"/>
      <c r="K164" s="287"/>
    </row>
    <row r="165" spans="1:11" x14ac:dyDescent="0.25">
      <c r="A165" s="287"/>
      <c r="B165" s="287"/>
      <c r="C165" s="287"/>
      <c r="D165" s="287"/>
      <c r="E165" s="287"/>
      <c r="F165" s="287"/>
      <c r="G165" s="402"/>
      <c r="H165" s="305"/>
      <c r="I165" s="305"/>
      <c r="J165" s="305"/>
      <c r="K165" s="287"/>
    </row>
    <row r="166" spans="1:11" x14ac:dyDescent="0.25">
      <c r="A166" s="287"/>
      <c r="B166" s="287"/>
      <c r="C166" s="287"/>
      <c r="D166" s="287"/>
      <c r="E166" s="287"/>
      <c r="F166" s="287"/>
      <c r="G166" s="402"/>
      <c r="H166" s="305"/>
      <c r="I166" s="305"/>
      <c r="J166" s="305"/>
      <c r="K166" s="287"/>
    </row>
    <row r="167" spans="1:11" x14ac:dyDescent="0.25">
      <c r="A167" s="287"/>
      <c r="B167" s="287"/>
      <c r="C167" s="287"/>
      <c r="D167" s="287"/>
      <c r="E167" s="287"/>
      <c r="F167" s="287"/>
      <c r="G167" s="402"/>
      <c r="H167" s="305"/>
      <c r="I167" s="305"/>
      <c r="J167" s="305"/>
      <c r="K167" s="287"/>
    </row>
    <row r="168" spans="1:11" x14ac:dyDescent="0.25">
      <c r="A168" s="287"/>
      <c r="B168" s="287"/>
      <c r="C168" s="287"/>
      <c r="D168" s="287"/>
      <c r="E168" s="287"/>
      <c r="F168" s="287"/>
      <c r="G168" s="402"/>
      <c r="H168" s="305"/>
      <c r="I168" s="305"/>
      <c r="J168" s="305"/>
      <c r="K168" s="287"/>
    </row>
    <row r="169" spans="1:11" x14ac:dyDescent="0.25">
      <c r="A169" s="287"/>
      <c r="B169" s="287"/>
      <c r="C169" s="287"/>
      <c r="D169" s="287"/>
      <c r="E169" s="287"/>
      <c r="F169" s="287"/>
      <c r="G169" s="402"/>
      <c r="H169" s="305"/>
      <c r="I169" s="305"/>
      <c r="J169" s="305"/>
      <c r="K169" s="287"/>
    </row>
    <row r="170" spans="1:11" x14ac:dyDescent="0.25">
      <c r="A170" s="287"/>
      <c r="B170" s="287"/>
      <c r="C170" s="287"/>
      <c r="D170" s="287"/>
      <c r="E170" s="287"/>
      <c r="F170" s="287"/>
      <c r="G170" s="402"/>
      <c r="H170" s="305"/>
      <c r="I170" s="305"/>
      <c r="J170" s="305"/>
      <c r="K170" s="287"/>
    </row>
    <row r="171" spans="1:11" x14ac:dyDescent="0.25">
      <c r="A171" s="287"/>
      <c r="B171" s="287"/>
      <c r="C171" s="287"/>
      <c r="D171" s="287"/>
      <c r="E171" s="287"/>
      <c r="F171" s="287"/>
      <c r="G171" s="402"/>
      <c r="H171" s="305"/>
      <c r="I171" s="305"/>
      <c r="J171" s="305"/>
      <c r="K171" s="287"/>
    </row>
    <row r="172" spans="1:11" x14ac:dyDescent="0.25">
      <c r="A172" s="287"/>
      <c r="B172" s="287"/>
      <c r="C172" s="287"/>
      <c r="D172" s="287"/>
      <c r="E172" s="287"/>
      <c r="F172" s="287"/>
      <c r="G172" s="402"/>
      <c r="H172" s="305"/>
      <c r="I172" s="305"/>
      <c r="J172" s="305"/>
      <c r="K172" s="287"/>
    </row>
    <row r="173" spans="1:11" x14ac:dyDescent="0.25">
      <c r="A173" s="287"/>
      <c r="B173" s="287"/>
      <c r="C173" s="287"/>
      <c r="D173" s="287"/>
      <c r="E173" s="287"/>
      <c r="F173" s="287"/>
      <c r="G173" s="402"/>
      <c r="H173" s="305"/>
      <c r="I173" s="305"/>
      <c r="J173" s="305"/>
      <c r="K173" s="287"/>
    </row>
    <row r="174" spans="1:11" x14ac:dyDescent="0.25">
      <c r="A174" s="287"/>
      <c r="B174" s="287"/>
      <c r="C174" s="287"/>
      <c r="D174" s="287"/>
      <c r="E174" s="287"/>
      <c r="F174" s="287"/>
      <c r="G174" s="402"/>
      <c r="H174" s="305"/>
      <c r="I174" s="305"/>
      <c r="J174" s="305"/>
      <c r="K174" s="287"/>
    </row>
    <row r="175" spans="1:11" x14ac:dyDescent="0.25">
      <c r="A175" s="287"/>
      <c r="B175" s="287"/>
      <c r="C175" s="287"/>
      <c r="D175" s="287"/>
      <c r="E175" s="287"/>
      <c r="F175" s="287"/>
      <c r="G175" s="402"/>
      <c r="H175" s="305"/>
      <c r="I175" s="305"/>
      <c r="J175" s="305"/>
      <c r="K175" s="287"/>
    </row>
    <row r="176" spans="1:11" x14ac:dyDescent="0.25">
      <c r="A176" s="287"/>
      <c r="B176" s="287"/>
      <c r="C176" s="287"/>
      <c r="D176" s="287"/>
      <c r="E176" s="287"/>
      <c r="F176" s="287"/>
      <c r="G176" s="402"/>
      <c r="H176" s="305"/>
      <c r="I176" s="305"/>
      <c r="J176" s="305"/>
      <c r="K176" s="287"/>
    </row>
    <row r="177" spans="1:11" x14ac:dyDescent="0.25">
      <c r="A177" s="287"/>
      <c r="B177" s="287"/>
      <c r="C177" s="287"/>
      <c r="D177" s="287"/>
      <c r="E177" s="287"/>
      <c r="F177" s="287"/>
      <c r="G177" s="402"/>
      <c r="H177" s="305"/>
      <c r="I177" s="305"/>
      <c r="J177" s="305"/>
      <c r="K177" s="287"/>
    </row>
    <row r="178" spans="1:11" x14ac:dyDescent="0.25">
      <c r="A178" s="287"/>
      <c r="B178" s="287"/>
      <c r="C178" s="287"/>
      <c r="D178" s="287"/>
      <c r="E178" s="287"/>
      <c r="F178" s="287"/>
      <c r="G178" s="402"/>
      <c r="H178" s="305"/>
      <c r="I178" s="305"/>
      <c r="J178" s="305"/>
      <c r="K178" s="287"/>
    </row>
    <row r="179" spans="1:11" x14ac:dyDescent="0.25">
      <c r="A179" s="287"/>
      <c r="B179" s="287"/>
      <c r="C179" s="287"/>
      <c r="D179" s="287"/>
      <c r="E179" s="287"/>
      <c r="F179" s="287"/>
      <c r="G179" s="402"/>
      <c r="H179" s="305"/>
      <c r="I179" s="305"/>
      <c r="J179" s="305"/>
      <c r="K179" s="287"/>
    </row>
    <row r="180" spans="1:11" x14ac:dyDescent="0.25">
      <c r="A180" s="287"/>
      <c r="B180" s="287"/>
      <c r="C180" s="287"/>
      <c r="D180" s="287"/>
      <c r="E180" s="287"/>
      <c r="F180" s="287"/>
      <c r="G180" s="402"/>
      <c r="H180" s="305"/>
      <c r="I180" s="305"/>
      <c r="J180" s="305"/>
      <c r="K180" s="287"/>
    </row>
    <row r="181" spans="1:11" x14ac:dyDescent="0.25">
      <c r="A181" s="287"/>
      <c r="B181" s="287"/>
      <c r="C181" s="287"/>
      <c r="D181" s="287"/>
      <c r="E181" s="287"/>
      <c r="F181" s="287"/>
      <c r="G181" s="402"/>
      <c r="H181" s="305"/>
      <c r="I181" s="305"/>
      <c r="J181" s="305"/>
      <c r="K181" s="287"/>
    </row>
    <row r="182" spans="1:11" x14ac:dyDescent="0.25">
      <c r="A182" s="287"/>
      <c r="B182" s="287"/>
      <c r="C182" s="287"/>
      <c r="D182" s="287"/>
      <c r="E182" s="287"/>
      <c r="F182" s="287"/>
      <c r="G182" s="402"/>
      <c r="H182" s="305"/>
      <c r="I182" s="305"/>
      <c r="J182" s="305"/>
      <c r="K182" s="287"/>
    </row>
    <row r="183" spans="1:11" x14ac:dyDescent="0.25">
      <c r="A183" s="287"/>
      <c r="B183" s="287"/>
      <c r="C183" s="287"/>
      <c r="D183" s="287"/>
      <c r="E183" s="287"/>
      <c r="F183" s="287"/>
      <c r="G183" s="402"/>
      <c r="H183" s="305"/>
      <c r="I183" s="305"/>
      <c r="J183" s="305"/>
      <c r="K183" s="287"/>
    </row>
    <row r="184" spans="1:11" x14ac:dyDescent="0.25">
      <c r="A184" s="287"/>
      <c r="B184" s="287"/>
      <c r="C184" s="287"/>
      <c r="D184" s="287"/>
      <c r="E184" s="287"/>
      <c r="F184" s="287"/>
      <c r="G184" s="402"/>
      <c r="H184" s="305"/>
      <c r="I184" s="305"/>
      <c r="J184" s="305"/>
      <c r="K184" s="287"/>
    </row>
    <row r="185" spans="1:11" x14ac:dyDescent="0.25">
      <c r="A185" s="287"/>
      <c r="B185" s="287"/>
      <c r="C185" s="287"/>
      <c r="D185" s="287"/>
      <c r="E185" s="287"/>
      <c r="F185" s="287"/>
      <c r="G185" s="402"/>
      <c r="H185" s="305"/>
      <c r="I185" s="305"/>
      <c r="J185" s="305"/>
      <c r="K185" s="287"/>
    </row>
    <row r="186" spans="1:11" x14ac:dyDescent="0.25">
      <c r="A186" s="287"/>
      <c r="B186" s="287"/>
      <c r="C186" s="287"/>
      <c r="D186" s="287"/>
      <c r="E186" s="287"/>
      <c r="F186" s="287"/>
      <c r="G186" s="402"/>
      <c r="H186" s="305"/>
      <c r="I186" s="305"/>
      <c r="J186" s="305"/>
      <c r="K186" s="287"/>
    </row>
    <row r="187" spans="1:11" x14ac:dyDescent="0.25">
      <c r="A187" s="287"/>
      <c r="B187" s="287"/>
      <c r="C187" s="287"/>
      <c r="D187" s="287"/>
      <c r="E187" s="287"/>
      <c r="F187" s="287"/>
      <c r="G187" s="402"/>
      <c r="H187" s="305"/>
      <c r="I187" s="305"/>
      <c r="J187" s="305"/>
      <c r="K187" s="287"/>
    </row>
    <row r="188" spans="1:11" x14ac:dyDescent="0.25">
      <c r="A188" s="287"/>
      <c r="B188" s="287"/>
      <c r="C188" s="287"/>
      <c r="D188" s="287"/>
      <c r="E188" s="287"/>
      <c r="F188" s="287"/>
      <c r="G188" s="402"/>
      <c r="H188" s="305"/>
      <c r="I188" s="305"/>
      <c r="J188" s="305"/>
      <c r="K188" s="287"/>
    </row>
    <row r="189" spans="1:11" x14ac:dyDescent="0.25">
      <c r="A189" s="287"/>
      <c r="B189" s="287"/>
      <c r="C189" s="287"/>
      <c r="D189" s="287"/>
      <c r="E189" s="287"/>
      <c r="F189" s="287"/>
      <c r="G189" s="402"/>
      <c r="H189" s="305"/>
      <c r="I189" s="305"/>
      <c r="J189" s="305"/>
      <c r="K189" s="287"/>
    </row>
    <row r="190" spans="1:11" x14ac:dyDescent="0.25">
      <c r="A190" s="287"/>
      <c r="B190" s="287"/>
      <c r="C190" s="287"/>
      <c r="D190" s="287"/>
      <c r="E190" s="287"/>
      <c r="F190" s="287"/>
      <c r="G190" s="402"/>
      <c r="H190" s="305"/>
      <c r="I190" s="305"/>
      <c r="J190" s="305"/>
      <c r="K190" s="287"/>
    </row>
    <row r="191" spans="1:11" x14ac:dyDescent="0.25">
      <c r="A191" s="287"/>
      <c r="B191" s="287"/>
      <c r="C191" s="287"/>
      <c r="D191" s="287"/>
      <c r="E191" s="287"/>
      <c r="F191" s="287"/>
      <c r="G191" s="402"/>
      <c r="H191" s="305"/>
      <c r="I191" s="305"/>
      <c r="J191" s="305"/>
      <c r="K191" s="287"/>
    </row>
    <row r="192" spans="1:11" x14ac:dyDescent="0.25">
      <c r="A192" s="287"/>
      <c r="B192" s="287"/>
      <c r="C192" s="287"/>
      <c r="D192" s="287"/>
      <c r="E192" s="287"/>
      <c r="F192" s="287"/>
      <c r="G192" s="402"/>
      <c r="H192" s="305"/>
      <c r="I192" s="305"/>
      <c r="J192" s="305"/>
      <c r="K192" s="287"/>
    </row>
    <row r="193" spans="1:11" x14ac:dyDescent="0.25">
      <c r="A193" s="287"/>
      <c r="B193" s="287"/>
      <c r="C193" s="287"/>
      <c r="D193" s="287"/>
      <c r="E193" s="287"/>
      <c r="F193" s="287"/>
      <c r="G193" s="402"/>
      <c r="H193" s="305"/>
      <c r="I193" s="305"/>
      <c r="J193" s="305"/>
      <c r="K193" s="287"/>
    </row>
    <row r="194" spans="1:11" x14ac:dyDescent="0.25">
      <c r="A194" s="287"/>
      <c r="B194" s="287"/>
      <c r="C194" s="287"/>
      <c r="D194" s="287"/>
      <c r="E194" s="287"/>
      <c r="F194" s="287"/>
      <c r="G194" s="402"/>
      <c r="H194" s="305"/>
      <c r="I194" s="305"/>
      <c r="J194" s="305"/>
      <c r="K194" s="287"/>
    </row>
    <row r="195" spans="1:11" x14ac:dyDescent="0.25">
      <c r="A195" s="287"/>
      <c r="B195" s="287"/>
      <c r="C195" s="287"/>
      <c r="D195" s="287"/>
      <c r="E195" s="287"/>
      <c r="F195" s="287"/>
      <c r="G195" s="402"/>
      <c r="H195" s="305"/>
      <c r="I195" s="305"/>
      <c r="J195" s="305"/>
      <c r="K195" s="287"/>
    </row>
    <row r="196" spans="1:11" x14ac:dyDescent="0.25">
      <c r="A196" s="287"/>
      <c r="B196" s="287"/>
      <c r="C196" s="287"/>
      <c r="D196" s="287"/>
      <c r="E196" s="287"/>
      <c r="F196" s="287"/>
      <c r="G196" s="402"/>
      <c r="H196" s="305"/>
      <c r="I196" s="305"/>
      <c r="J196" s="305"/>
      <c r="K196" s="287"/>
    </row>
    <row r="197" spans="1:11" x14ac:dyDescent="0.25">
      <c r="A197" s="287"/>
      <c r="B197" s="287"/>
      <c r="C197" s="287"/>
      <c r="D197" s="287"/>
      <c r="E197" s="287"/>
      <c r="F197" s="287"/>
      <c r="G197" s="402"/>
      <c r="H197" s="305"/>
      <c r="I197" s="305"/>
      <c r="J197" s="305"/>
      <c r="K197" s="287"/>
    </row>
    <row r="198" spans="1:11" x14ac:dyDescent="0.25">
      <c r="A198" s="287"/>
      <c r="B198" s="287"/>
      <c r="C198" s="287"/>
      <c r="D198" s="287"/>
      <c r="E198" s="287"/>
      <c r="F198" s="287"/>
      <c r="G198" s="402"/>
      <c r="H198" s="305"/>
      <c r="I198" s="305"/>
      <c r="J198" s="305"/>
      <c r="K198" s="287"/>
    </row>
    <row r="199" spans="1:11" x14ac:dyDescent="0.25">
      <c r="A199" s="287"/>
      <c r="B199" s="287"/>
      <c r="C199" s="287"/>
      <c r="D199" s="287"/>
      <c r="E199" s="287"/>
      <c r="F199" s="287"/>
      <c r="G199" s="402"/>
      <c r="H199" s="305"/>
      <c r="I199" s="305"/>
      <c r="J199" s="305"/>
      <c r="K199" s="287"/>
    </row>
    <row r="200" spans="1:11" x14ac:dyDescent="0.25">
      <c r="A200" s="287"/>
      <c r="B200" s="287"/>
      <c r="C200" s="287"/>
      <c r="D200" s="287"/>
      <c r="E200" s="287"/>
      <c r="F200" s="287"/>
      <c r="G200" s="402"/>
      <c r="H200" s="305"/>
      <c r="I200" s="305"/>
      <c r="J200" s="305"/>
      <c r="K200" s="287"/>
    </row>
    <row r="201" spans="1:11" x14ac:dyDescent="0.25">
      <c r="A201" s="287"/>
      <c r="B201" s="287"/>
      <c r="C201" s="287"/>
      <c r="D201" s="287"/>
      <c r="E201" s="287"/>
      <c r="F201" s="287"/>
      <c r="G201" s="402"/>
      <c r="H201" s="305"/>
      <c r="I201" s="305"/>
      <c r="J201" s="305"/>
      <c r="K201" s="287"/>
    </row>
    <row r="202" spans="1:11" x14ac:dyDescent="0.25">
      <c r="A202" s="287"/>
      <c r="B202" s="287"/>
      <c r="C202" s="287"/>
      <c r="D202" s="287"/>
      <c r="E202" s="287"/>
      <c r="F202" s="287"/>
      <c r="G202" s="402"/>
      <c r="H202" s="305"/>
      <c r="I202" s="305"/>
      <c r="J202" s="305"/>
      <c r="K202" s="287"/>
    </row>
    <row r="203" spans="1:11" x14ac:dyDescent="0.25">
      <c r="A203" s="287"/>
      <c r="B203" s="287"/>
      <c r="C203" s="287"/>
      <c r="D203" s="287"/>
      <c r="E203" s="287"/>
      <c r="F203" s="287"/>
      <c r="G203" s="402"/>
      <c r="H203" s="305"/>
      <c r="I203" s="305"/>
      <c r="J203" s="305"/>
      <c r="K203" s="287"/>
    </row>
    <row r="204" spans="1:11" x14ac:dyDescent="0.25">
      <c r="A204" s="287"/>
      <c r="B204" s="287"/>
      <c r="C204" s="287"/>
      <c r="D204" s="287"/>
      <c r="E204" s="287"/>
      <c r="F204" s="287"/>
      <c r="G204" s="402"/>
      <c r="H204" s="305"/>
      <c r="I204" s="305"/>
      <c r="J204" s="305"/>
      <c r="K204" s="287"/>
    </row>
    <row r="205" spans="1:11" x14ac:dyDescent="0.25">
      <c r="A205" s="287"/>
      <c r="B205" s="287"/>
      <c r="C205" s="287"/>
      <c r="D205" s="287"/>
      <c r="E205" s="287"/>
      <c r="F205" s="287"/>
      <c r="G205" s="402"/>
      <c r="H205" s="305"/>
      <c r="I205" s="305"/>
      <c r="J205" s="305"/>
      <c r="K205" s="287"/>
    </row>
    <row r="206" spans="1:11" x14ac:dyDescent="0.25">
      <c r="A206" s="287"/>
      <c r="B206" s="287"/>
      <c r="C206" s="287"/>
      <c r="D206" s="287"/>
      <c r="E206" s="287"/>
      <c r="F206" s="287"/>
      <c r="G206" s="402"/>
      <c r="H206" s="305"/>
      <c r="I206" s="305"/>
      <c r="J206" s="305"/>
      <c r="K206" s="287"/>
    </row>
    <row r="207" spans="1:11" x14ac:dyDescent="0.25">
      <c r="A207" s="287"/>
      <c r="B207" s="287"/>
      <c r="C207" s="287"/>
      <c r="D207" s="287"/>
      <c r="E207" s="287"/>
      <c r="F207" s="287"/>
      <c r="G207" s="402"/>
      <c r="H207" s="305"/>
      <c r="I207" s="305"/>
      <c r="J207" s="305"/>
      <c r="K207" s="287"/>
    </row>
    <row r="208" spans="1:11" x14ac:dyDescent="0.25">
      <c r="A208" s="287"/>
      <c r="B208" s="287"/>
      <c r="C208" s="287"/>
      <c r="D208" s="287"/>
      <c r="E208" s="287"/>
      <c r="F208" s="287"/>
      <c r="G208" s="402"/>
      <c r="H208" s="305"/>
      <c r="I208" s="305"/>
      <c r="J208" s="305"/>
      <c r="K208" s="287"/>
    </row>
    <row r="209" spans="1:11" x14ac:dyDescent="0.25">
      <c r="A209" s="287"/>
      <c r="B209" s="287"/>
      <c r="C209" s="287"/>
      <c r="D209" s="287"/>
      <c r="E209" s="287"/>
      <c r="F209" s="287"/>
      <c r="G209" s="402"/>
      <c r="H209" s="305"/>
      <c r="I209" s="305"/>
      <c r="J209" s="305"/>
      <c r="K209" s="287"/>
    </row>
    <row r="210" spans="1:11" x14ac:dyDescent="0.25">
      <c r="A210" s="287"/>
      <c r="B210" s="287"/>
      <c r="C210" s="287"/>
      <c r="D210" s="287"/>
      <c r="E210" s="287"/>
      <c r="F210" s="287"/>
      <c r="G210" s="402"/>
      <c r="H210" s="305"/>
      <c r="I210" s="305"/>
      <c r="J210" s="305"/>
      <c r="K210" s="287"/>
    </row>
    <row r="211" spans="1:11" x14ac:dyDescent="0.25">
      <c r="A211" s="287"/>
      <c r="B211" s="287"/>
      <c r="C211" s="287"/>
      <c r="D211" s="287"/>
      <c r="E211" s="287"/>
      <c r="F211" s="287"/>
      <c r="G211" s="402"/>
      <c r="H211" s="305"/>
      <c r="I211" s="305"/>
      <c r="J211" s="305"/>
      <c r="K211" s="287"/>
    </row>
    <row r="212" spans="1:11" x14ac:dyDescent="0.25">
      <c r="A212" s="287"/>
      <c r="B212" s="287"/>
      <c r="C212" s="287"/>
      <c r="D212" s="287"/>
      <c r="E212" s="287"/>
      <c r="F212" s="287"/>
      <c r="G212" s="402"/>
      <c r="H212" s="305"/>
      <c r="I212" s="305"/>
      <c r="J212" s="305"/>
      <c r="K212" s="287"/>
    </row>
    <row r="213" spans="1:11" x14ac:dyDescent="0.25">
      <c r="A213" s="287"/>
      <c r="B213" s="287"/>
      <c r="C213" s="287"/>
      <c r="D213" s="287"/>
      <c r="E213" s="287"/>
      <c r="F213" s="287"/>
      <c r="G213" s="402"/>
      <c r="H213" s="305"/>
      <c r="I213" s="305"/>
      <c r="J213" s="305"/>
      <c r="K213" s="287"/>
    </row>
    <row r="214" spans="1:11" x14ac:dyDescent="0.25">
      <c r="A214" s="287"/>
      <c r="B214" s="287"/>
      <c r="C214" s="287"/>
      <c r="D214" s="287"/>
      <c r="E214" s="287"/>
      <c r="F214" s="287"/>
      <c r="G214" s="402"/>
      <c r="H214" s="305"/>
      <c r="I214" s="305"/>
      <c r="J214" s="305"/>
      <c r="K214" s="287"/>
    </row>
    <row r="215" spans="1:11" x14ac:dyDescent="0.25">
      <c r="A215" s="287"/>
      <c r="B215" s="287"/>
      <c r="C215" s="287"/>
      <c r="D215" s="287"/>
      <c r="E215" s="287"/>
      <c r="F215" s="287"/>
      <c r="G215" s="402"/>
      <c r="H215" s="305"/>
      <c r="I215" s="305"/>
      <c r="J215" s="305"/>
      <c r="K215" s="287"/>
    </row>
    <row r="216" spans="1:11" x14ac:dyDescent="0.25">
      <c r="A216" s="287"/>
      <c r="B216" s="287"/>
      <c r="C216" s="287"/>
      <c r="D216" s="287"/>
      <c r="E216" s="287"/>
      <c r="F216" s="287"/>
      <c r="G216" s="402"/>
      <c r="H216" s="305"/>
      <c r="I216" s="305"/>
      <c r="J216" s="305"/>
      <c r="K216" s="287"/>
    </row>
    <row r="217" spans="1:11" x14ac:dyDescent="0.25">
      <c r="A217" s="287"/>
      <c r="B217" s="287"/>
      <c r="C217" s="287"/>
      <c r="D217" s="287"/>
      <c r="E217" s="287"/>
      <c r="F217" s="287"/>
      <c r="G217" s="402"/>
      <c r="H217" s="305"/>
      <c r="I217" s="305"/>
      <c r="J217" s="305"/>
      <c r="K217" s="287"/>
    </row>
    <row r="218" spans="1:11" x14ac:dyDescent="0.25">
      <c r="A218" s="287"/>
      <c r="B218" s="287"/>
      <c r="C218" s="287"/>
      <c r="D218" s="287"/>
      <c r="E218" s="287"/>
      <c r="F218" s="287"/>
      <c r="G218" s="402"/>
      <c r="H218" s="305"/>
      <c r="I218" s="305"/>
      <c r="J218" s="305"/>
      <c r="K218" s="287"/>
    </row>
    <row r="219" spans="1:11" x14ac:dyDescent="0.25">
      <c r="A219" s="287"/>
      <c r="B219" s="287"/>
      <c r="C219" s="287"/>
      <c r="D219" s="287"/>
      <c r="E219" s="287"/>
      <c r="F219" s="287"/>
      <c r="G219" s="402"/>
      <c r="H219" s="305"/>
      <c r="I219" s="305"/>
      <c r="J219" s="305"/>
      <c r="K219" s="287"/>
    </row>
    <row r="220" spans="1:11" x14ac:dyDescent="0.25">
      <c r="A220" s="287"/>
      <c r="B220" s="287"/>
      <c r="C220" s="287"/>
      <c r="D220" s="287"/>
      <c r="E220" s="287"/>
      <c r="F220" s="287"/>
      <c r="G220" s="402"/>
      <c r="H220" s="305"/>
      <c r="I220" s="305"/>
      <c r="J220" s="305"/>
      <c r="K220" s="287"/>
    </row>
    <row r="221" spans="1:11" x14ac:dyDescent="0.25">
      <c r="A221" s="287"/>
      <c r="B221" s="287"/>
      <c r="C221" s="287"/>
      <c r="D221" s="287"/>
      <c r="E221" s="287"/>
      <c r="F221" s="287"/>
      <c r="G221" s="402"/>
      <c r="H221" s="305"/>
      <c r="I221" s="305"/>
      <c r="J221" s="305"/>
      <c r="K221" s="287"/>
    </row>
    <row r="222" spans="1:11" x14ac:dyDescent="0.25">
      <c r="A222" s="287"/>
      <c r="B222" s="287"/>
      <c r="C222" s="287"/>
      <c r="D222" s="287"/>
      <c r="E222" s="287"/>
      <c r="F222" s="287"/>
      <c r="G222" s="402"/>
      <c r="H222" s="305"/>
      <c r="I222" s="305"/>
      <c r="J222" s="305"/>
      <c r="K222" s="287"/>
    </row>
    <row r="223" spans="1:11" x14ac:dyDescent="0.25">
      <c r="A223" s="287"/>
      <c r="B223" s="287"/>
      <c r="C223" s="287"/>
      <c r="D223" s="287"/>
      <c r="E223" s="287"/>
      <c r="F223" s="287"/>
      <c r="G223" s="402"/>
      <c r="H223" s="305"/>
      <c r="I223" s="305"/>
      <c r="J223" s="305"/>
      <c r="K223" s="287"/>
    </row>
    <row r="224" spans="1:11" x14ac:dyDescent="0.25">
      <c r="A224" s="287"/>
      <c r="B224" s="287"/>
      <c r="C224" s="287"/>
      <c r="D224" s="287"/>
      <c r="E224" s="287"/>
      <c r="F224" s="287"/>
      <c r="G224" s="402"/>
      <c r="H224" s="305"/>
      <c r="I224" s="305"/>
      <c r="J224" s="305"/>
      <c r="K224" s="287"/>
    </row>
    <row r="225" spans="1:11" x14ac:dyDescent="0.25">
      <c r="A225" s="287"/>
      <c r="B225" s="287"/>
      <c r="C225" s="287"/>
      <c r="D225" s="287"/>
      <c r="E225" s="287"/>
      <c r="F225" s="287"/>
      <c r="G225" s="402"/>
      <c r="H225" s="305"/>
      <c r="I225" s="305"/>
      <c r="J225" s="305"/>
      <c r="K225" s="287"/>
    </row>
    <row r="226" spans="1:11" x14ac:dyDescent="0.25">
      <c r="A226" s="287"/>
      <c r="B226" s="287"/>
      <c r="C226" s="287"/>
      <c r="D226" s="287"/>
      <c r="E226" s="287"/>
      <c r="F226" s="287"/>
      <c r="G226" s="402"/>
      <c r="H226" s="305"/>
      <c r="I226" s="305"/>
      <c r="J226" s="305"/>
      <c r="K226" s="287"/>
    </row>
    <row r="227" spans="1:11" x14ac:dyDescent="0.25">
      <c r="A227" s="287"/>
      <c r="B227" s="287"/>
      <c r="C227" s="287"/>
      <c r="D227" s="287"/>
      <c r="E227" s="287"/>
      <c r="F227" s="287"/>
      <c r="G227" s="402"/>
      <c r="H227" s="305"/>
      <c r="I227" s="305"/>
      <c r="J227" s="305"/>
      <c r="K227" s="287"/>
    </row>
    <row r="228" spans="1:11" x14ac:dyDescent="0.25">
      <c r="A228" s="287"/>
      <c r="B228" s="287"/>
      <c r="C228" s="287"/>
      <c r="D228" s="287"/>
      <c r="E228" s="287"/>
      <c r="F228" s="287"/>
      <c r="G228" s="402"/>
      <c r="H228" s="305"/>
      <c r="I228" s="305"/>
      <c r="J228" s="305"/>
      <c r="K228" s="287"/>
    </row>
    <row r="229" spans="1:11" x14ac:dyDescent="0.25">
      <c r="A229" s="287"/>
      <c r="B229" s="287"/>
      <c r="C229" s="287"/>
      <c r="D229" s="287"/>
      <c r="E229" s="287"/>
      <c r="F229" s="287"/>
      <c r="G229" s="402"/>
      <c r="H229" s="305"/>
      <c r="I229" s="305"/>
      <c r="J229" s="305"/>
      <c r="K229" s="287"/>
    </row>
    <row r="230" spans="1:11" x14ac:dyDescent="0.25">
      <c r="A230" s="287"/>
      <c r="B230" s="287"/>
      <c r="C230" s="287"/>
      <c r="D230" s="287"/>
      <c r="E230" s="287"/>
      <c r="F230" s="287"/>
      <c r="G230" s="402"/>
      <c r="H230" s="305"/>
      <c r="I230" s="305"/>
      <c r="J230" s="305"/>
      <c r="K230" s="287"/>
    </row>
    <row r="231" spans="1:11" x14ac:dyDescent="0.25">
      <c r="A231" s="287"/>
      <c r="B231" s="287"/>
      <c r="C231" s="287"/>
      <c r="D231" s="287"/>
      <c r="E231" s="287"/>
      <c r="F231" s="287"/>
      <c r="G231" s="402"/>
      <c r="H231" s="305"/>
      <c r="I231" s="305"/>
      <c r="J231" s="305"/>
      <c r="K231" s="287"/>
    </row>
    <row r="232" spans="1:11" x14ac:dyDescent="0.25">
      <c r="A232" s="287"/>
      <c r="B232" s="287"/>
      <c r="C232" s="287"/>
      <c r="D232" s="287"/>
      <c r="E232" s="287"/>
      <c r="F232" s="287"/>
      <c r="G232" s="402"/>
      <c r="H232" s="305"/>
      <c r="I232" s="305"/>
      <c r="J232" s="305"/>
      <c r="K232" s="287"/>
    </row>
    <row r="233" spans="1:11" x14ac:dyDescent="0.25">
      <c r="A233" s="287"/>
      <c r="B233" s="287"/>
      <c r="C233" s="287"/>
      <c r="D233" s="287"/>
      <c r="E233" s="287"/>
      <c r="F233" s="287"/>
      <c r="G233" s="402"/>
      <c r="H233" s="305"/>
      <c r="I233" s="305"/>
      <c r="J233" s="305"/>
      <c r="K233" s="287"/>
    </row>
    <row r="234" spans="1:11" x14ac:dyDescent="0.25">
      <c r="A234" s="287"/>
      <c r="B234" s="287"/>
      <c r="C234" s="287"/>
      <c r="D234" s="287"/>
      <c r="E234" s="287"/>
      <c r="F234" s="287"/>
      <c r="G234" s="402"/>
      <c r="H234" s="305"/>
      <c r="I234" s="305"/>
      <c r="J234" s="305"/>
      <c r="K234" s="287"/>
    </row>
    <row r="235" spans="1:11" x14ac:dyDescent="0.25">
      <c r="A235" s="287"/>
      <c r="B235" s="287"/>
      <c r="C235" s="287"/>
      <c r="D235" s="287"/>
      <c r="E235" s="287"/>
      <c r="F235" s="287"/>
      <c r="G235" s="402"/>
      <c r="H235" s="305"/>
      <c r="I235" s="305"/>
      <c r="J235" s="305"/>
      <c r="K235" s="287"/>
    </row>
    <row r="236" spans="1:11" x14ac:dyDescent="0.25">
      <c r="A236" s="287"/>
      <c r="B236" s="287"/>
      <c r="C236" s="287"/>
      <c r="D236" s="287"/>
      <c r="E236" s="287"/>
      <c r="F236" s="287"/>
      <c r="G236" s="402"/>
      <c r="H236" s="305"/>
      <c r="I236" s="305"/>
      <c r="J236" s="305"/>
      <c r="K236" s="287"/>
    </row>
    <row r="237" spans="1:11" x14ac:dyDescent="0.25">
      <c r="A237" s="287"/>
      <c r="B237" s="287"/>
      <c r="C237" s="287"/>
      <c r="D237" s="287"/>
      <c r="E237" s="287"/>
      <c r="F237" s="287"/>
      <c r="G237" s="402"/>
      <c r="H237" s="305"/>
      <c r="I237" s="305"/>
      <c r="J237" s="305"/>
      <c r="K237" s="287"/>
    </row>
    <row r="238" spans="1:11" x14ac:dyDescent="0.25">
      <c r="A238" s="287"/>
      <c r="B238" s="287"/>
      <c r="C238" s="287"/>
      <c r="D238" s="287"/>
      <c r="E238" s="287"/>
      <c r="F238" s="287"/>
      <c r="G238" s="402"/>
      <c r="H238" s="305"/>
      <c r="I238" s="305"/>
      <c r="J238" s="305"/>
      <c r="K238" s="287"/>
    </row>
    <row r="239" spans="1:11" x14ac:dyDescent="0.25">
      <c r="A239" s="287"/>
      <c r="B239" s="287"/>
      <c r="C239" s="287"/>
      <c r="D239" s="287"/>
      <c r="E239" s="287"/>
      <c r="F239" s="287"/>
      <c r="G239" s="402"/>
      <c r="H239" s="305"/>
      <c r="I239" s="305"/>
      <c r="J239" s="305"/>
      <c r="K239" s="287"/>
    </row>
    <row r="240" spans="1:11" x14ac:dyDescent="0.25">
      <c r="A240" s="287"/>
      <c r="B240" s="287"/>
      <c r="C240" s="287"/>
      <c r="D240" s="287"/>
      <c r="E240" s="287"/>
      <c r="F240" s="287"/>
      <c r="G240" s="402"/>
      <c r="H240" s="305"/>
      <c r="I240" s="305"/>
      <c r="J240" s="305"/>
      <c r="K240" s="287"/>
    </row>
    <row r="241" spans="1:11" x14ac:dyDescent="0.25">
      <c r="A241" s="287"/>
      <c r="B241" s="287"/>
      <c r="C241" s="287"/>
      <c r="D241" s="287"/>
      <c r="E241" s="287"/>
      <c r="F241" s="287"/>
      <c r="G241" s="402"/>
      <c r="H241" s="305"/>
      <c r="I241" s="305"/>
      <c r="J241" s="305"/>
      <c r="K241" s="287"/>
    </row>
    <row r="242" spans="1:11" x14ac:dyDescent="0.25">
      <c r="A242" s="287"/>
      <c r="B242" s="287"/>
      <c r="C242" s="287"/>
      <c r="D242" s="287"/>
      <c r="E242" s="287"/>
      <c r="F242" s="287"/>
      <c r="G242" s="402"/>
      <c r="H242" s="305"/>
      <c r="I242" s="305"/>
      <c r="J242" s="305"/>
      <c r="K242" s="287"/>
    </row>
    <row r="243" spans="1:11" x14ac:dyDescent="0.25">
      <c r="A243" s="287"/>
      <c r="B243" s="287"/>
      <c r="C243" s="287"/>
      <c r="D243" s="287"/>
      <c r="E243" s="287"/>
      <c r="F243" s="287"/>
      <c r="G243" s="402"/>
      <c r="H243" s="305"/>
      <c r="I243" s="305"/>
      <c r="J243" s="305"/>
      <c r="K243" s="287"/>
    </row>
    <row r="244" spans="1:11" x14ac:dyDescent="0.25">
      <c r="A244" s="287"/>
      <c r="B244" s="287"/>
      <c r="C244" s="287"/>
      <c r="D244" s="287"/>
      <c r="E244" s="287"/>
      <c r="F244" s="287"/>
      <c r="G244" s="402"/>
      <c r="H244" s="305"/>
      <c r="I244" s="305"/>
      <c r="J244" s="305"/>
      <c r="K244" s="287"/>
    </row>
    <row r="245" spans="1:11" x14ac:dyDescent="0.25">
      <c r="A245" s="287"/>
      <c r="B245" s="287"/>
      <c r="C245" s="287"/>
      <c r="D245" s="287"/>
      <c r="E245" s="287"/>
      <c r="F245" s="287"/>
      <c r="G245" s="402"/>
      <c r="H245" s="305"/>
      <c r="I245" s="305"/>
      <c r="J245" s="305"/>
      <c r="K245" s="287"/>
    </row>
    <row r="246" spans="1:11" x14ac:dyDescent="0.25">
      <c r="A246" s="287"/>
      <c r="B246" s="287"/>
      <c r="C246" s="287"/>
      <c r="D246" s="287"/>
      <c r="E246" s="287"/>
      <c r="F246" s="287"/>
      <c r="G246" s="402"/>
      <c r="H246" s="305"/>
      <c r="I246" s="305"/>
      <c r="J246" s="305"/>
      <c r="K246" s="287"/>
    </row>
    <row r="247" spans="1:11" x14ac:dyDescent="0.25">
      <c r="A247" s="287"/>
      <c r="B247" s="287"/>
      <c r="C247" s="287"/>
      <c r="D247" s="287"/>
      <c r="E247" s="287"/>
      <c r="F247" s="287"/>
      <c r="G247" s="402"/>
      <c r="H247" s="305"/>
      <c r="I247" s="305"/>
      <c r="J247" s="305"/>
      <c r="K247" s="287"/>
    </row>
    <row r="248" spans="1:11" x14ac:dyDescent="0.25">
      <c r="A248" s="287"/>
      <c r="B248" s="287"/>
      <c r="C248" s="287"/>
      <c r="D248" s="287"/>
      <c r="E248" s="287"/>
      <c r="F248" s="287"/>
      <c r="G248" s="402"/>
      <c r="H248" s="305"/>
      <c r="I248" s="305"/>
      <c r="J248" s="305"/>
      <c r="K248" s="287"/>
    </row>
    <row r="249" spans="1:11" x14ac:dyDescent="0.25">
      <c r="A249" s="287"/>
      <c r="B249" s="287"/>
      <c r="C249" s="287"/>
      <c r="D249" s="287"/>
      <c r="E249" s="287"/>
      <c r="F249" s="287"/>
      <c r="G249" s="402"/>
      <c r="H249" s="305"/>
      <c r="I249" s="305"/>
      <c r="J249" s="305"/>
      <c r="K249" s="287"/>
    </row>
    <row r="250" spans="1:11" x14ac:dyDescent="0.25">
      <c r="A250" s="287"/>
      <c r="B250" s="287"/>
      <c r="C250" s="287"/>
      <c r="D250" s="287"/>
      <c r="E250" s="287"/>
      <c r="F250" s="287"/>
      <c r="G250" s="402"/>
      <c r="H250" s="305"/>
      <c r="I250" s="305"/>
      <c r="J250" s="305"/>
      <c r="K250" s="287"/>
    </row>
    <row r="251" spans="1:11" x14ac:dyDescent="0.25">
      <c r="A251" s="287"/>
      <c r="B251" s="287"/>
      <c r="C251" s="287"/>
      <c r="D251" s="287"/>
      <c r="E251" s="287"/>
      <c r="F251" s="287"/>
      <c r="G251" s="402"/>
      <c r="H251" s="305"/>
      <c r="I251" s="305"/>
      <c r="J251" s="305"/>
      <c r="K251" s="287"/>
    </row>
    <row r="252" spans="1:11" x14ac:dyDescent="0.25">
      <c r="A252" s="287"/>
      <c r="B252" s="287"/>
      <c r="C252" s="287"/>
      <c r="D252" s="287"/>
      <c r="E252" s="287"/>
      <c r="F252" s="287"/>
      <c r="G252" s="402"/>
      <c r="H252" s="305"/>
      <c r="I252" s="305"/>
      <c r="J252" s="305"/>
      <c r="K252" s="287"/>
    </row>
    <row r="253" spans="1:11" x14ac:dyDescent="0.25">
      <c r="A253" s="287"/>
      <c r="B253" s="287"/>
      <c r="C253" s="287"/>
      <c r="D253" s="287"/>
      <c r="E253" s="287"/>
      <c r="F253" s="287"/>
      <c r="G253" s="402"/>
      <c r="H253" s="305"/>
      <c r="I253" s="305"/>
      <c r="J253" s="305"/>
      <c r="K253" s="287"/>
    </row>
    <row r="254" spans="1:11" x14ac:dyDescent="0.25">
      <c r="A254" s="287"/>
      <c r="B254" s="287"/>
      <c r="C254" s="287"/>
      <c r="D254" s="287"/>
      <c r="E254" s="287"/>
      <c r="F254" s="287"/>
      <c r="G254" s="402"/>
      <c r="H254" s="305"/>
      <c r="I254" s="305"/>
      <c r="J254" s="305"/>
      <c r="K254" s="287"/>
    </row>
    <row r="255" spans="1:11" x14ac:dyDescent="0.25">
      <c r="A255" s="287"/>
      <c r="B255" s="287"/>
      <c r="C255" s="287"/>
      <c r="D255" s="287"/>
      <c r="E255" s="287"/>
      <c r="F255" s="287"/>
      <c r="G255" s="402"/>
      <c r="H255" s="305"/>
      <c r="I255" s="305"/>
      <c r="J255" s="305"/>
      <c r="K255" s="287"/>
    </row>
    <row r="256" spans="1:11" x14ac:dyDescent="0.25">
      <c r="A256" s="287"/>
      <c r="B256" s="287"/>
      <c r="C256" s="287"/>
      <c r="D256" s="287"/>
      <c r="E256" s="287"/>
      <c r="F256" s="287"/>
      <c r="G256" s="402"/>
      <c r="H256" s="305"/>
      <c r="I256" s="305"/>
      <c r="J256" s="305"/>
      <c r="K256" s="287"/>
    </row>
    <row r="257" spans="1:11" x14ac:dyDescent="0.25">
      <c r="A257" s="287"/>
      <c r="B257" s="287"/>
      <c r="C257" s="287"/>
      <c r="D257" s="287"/>
      <c r="E257" s="287"/>
      <c r="F257" s="287"/>
      <c r="G257" s="402"/>
      <c r="H257" s="305"/>
      <c r="I257" s="305"/>
      <c r="J257" s="305"/>
      <c r="K257" s="287"/>
    </row>
    <row r="258" spans="1:11" x14ac:dyDescent="0.25">
      <c r="A258" s="287"/>
      <c r="B258" s="287"/>
      <c r="C258" s="287"/>
      <c r="D258" s="287"/>
      <c r="E258" s="287"/>
      <c r="F258" s="287"/>
      <c r="G258" s="402"/>
      <c r="H258" s="305"/>
      <c r="I258" s="305"/>
      <c r="J258" s="305"/>
      <c r="K258" s="287"/>
    </row>
    <row r="259" spans="1:11" x14ac:dyDescent="0.25">
      <c r="A259" s="287"/>
      <c r="B259" s="287"/>
      <c r="C259" s="287"/>
      <c r="D259" s="287"/>
      <c r="E259" s="287"/>
      <c r="F259" s="287"/>
      <c r="G259" s="402"/>
      <c r="H259" s="305"/>
      <c r="I259" s="305"/>
      <c r="J259" s="305"/>
      <c r="K259" s="287"/>
    </row>
    <row r="260" spans="1:11" x14ac:dyDescent="0.25">
      <c r="A260" s="287"/>
      <c r="B260" s="287"/>
      <c r="C260" s="287"/>
      <c r="D260" s="287"/>
      <c r="E260" s="287"/>
      <c r="F260" s="287"/>
      <c r="G260" s="402"/>
      <c r="H260" s="305"/>
      <c r="I260" s="305"/>
      <c r="J260" s="305"/>
      <c r="K260" s="287"/>
    </row>
    <row r="261" spans="1:11" x14ac:dyDescent="0.25">
      <c r="A261" s="287"/>
      <c r="B261" s="287"/>
      <c r="C261" s="287"/>
      <c r="D261" s="287"/>
      <c r="E261" s="287"/>
      <c r="F261" s="287"/>
      <c r="G261" s="402"/>
      <c r="H261" s="305"/>
      <c r="I261" s="305"/>
      <c r="J261" s="305"/>
      <c r="K261" s="287"/>
    </row>
    <row r="262" spans="1:11" x14ac:dyDescent="0.25">
      <c r="A262" s="287"/>
      <c r="B262" s="287"/>
      <c r="C262" s="287"/>
      <c r="D262" s="287"/>
      <c r="E262" s="287"/>
      <c r="F262" s="287"/>
      <c r="G262" s="402"/>
      <c r="H262" s="305"/>
      <c r="I262" s="305"/>
      <c r="J262" s="305"/>
      <c r="K262" s="287"/>
    </row>
    <row r="263" spans="1:11" x14ac:dyDescent="0.25">
      <c r="A263" s="287"/>
      <c r="B263" s="287"/>
      <c r="C263" s="287"/>
      <c r="D263" s="287"/>
      <c r="E263" s="287"/>
      <c r="F263" s="287"/>
      <c r="G263" s="402"/>
      <c r="H263" s="305"/>
      <c r="I263" s="305"/>
      <c r="J263" s="305"/>
      <c r="K263" s="287"/>
    </row>
    <row r="264" spans="1:11" x14ac:dyDescent="0.25">
      <c r="A264" s="287"/>
      <c r="B264" s="287"/>
      <c r="C264" s="287"/>
      <c r="D264" s="287"/>
      <c r="E264" s="287"/>
      <c r="F264" s="287"/>
      <c r="G264" s="402"/>
      <c r="H264" s="305"/>
      <c r="I264" s="305"/>
      <c r="J264" s="305"/>
      <c r="K264" s="287"/>
    </row>
    <row r="265" spans="1:11" x14ac:dyDescent="0.25">
      <c r="A265" s="287"/>
      <c r="B265" s="287"/>
      <c r="C265" s="287"/>
      <c r="D265" s="287"/>
      <c r="E265" s="287"/>
      <c r="F265" s="287"/>
      <c r="G265" s="402"/>
      <c r="H265" s="305"/>
      <c r="I265" s="305"/>
      <c r="J265" s="305"/>
      <c r="K265" s="287"/>
    </row>
    <row r="266" spans="1:11" x14ac:dyDescent="0.25">
      <c r="A266" s="287"/>
      <c r="B266" s="287"/>
      <c r="C266" s="287"/>
      <c r="D266" s="287"/>
      <c r="E266" s="287"/>
      <c r="F266" s="287"/>
      <c r="G266" s="402"/>
      <c r="H266" s="305"/>
      <c r="I266" s="305"/>
      <c r="J266" s="305"/>
      <c r="K266" s="287"/>
    </row>
    <row r="267" spans="1:11" x14ac:dyDescent="0.25">
      <c r="A267" s="287"/>
      <c r="B267" s="287"/>
      <c r="C267" s="287"/>
      <c r="D267" s="287"/>
      <c r="E267" s="287"/>
      <c r="F267" s="287"/>
      <c r="G267" s="402"/>
      <c r="H267" s="305"/>
      <c r="I267" s="305"/>
      <c r="J267" s="305"/>
      <c r="K267" s="287"/>
    </row>
    <row r="268" spans="1:11" x14ac:dyDescent="0.25">
      <c r="A268" s="287"/>
      <c r="B268" s="287"/>
      <c r="C268" s="287"/>
      <c r="D268" s="287"/>
      <c r="E268" s="287"/>
      <c r="F268" s="287"/>
      <c r="G268" s="402"/>
      <c r="H268" s="305"/>
      <c r="I268" s="305"/>
      <c r="J268" s="305"/>
      <c r="K268" s="287"/>
    </row>
    <row r="269" spans="1:11" x14ac:dyDescent="0.25">
      <c r="A269" s="287"/>
      <c r="B269" s="287"/>
      <c r="C269" s="287"/>
      <c r="D269" s="287"/>
      <c r="E269" s="287"/>
      <c r="F269" s="287"/>
      <c r="G269" s="402"/>
      <c r="H269" s="305"/>
      <c r="I269" s="305"/>
      <c r="J269" s="305"/>
      <c r="K269" s="287"/>
    </row>
    <row r="270" spans="1:11" x14ac:dyDescent="0.25">
      <c r="A270" s="287"/>
      <c r="B270" s="287"/>
      <c r="C270" s="287"/>
      <c r="D270" s="287"/>
      <c r="E270" s="287"/>
      <c r="F270" s="287"/>
      <c r="G270" s="402"/>
      <c r="H270" s="305"/>
      <c r="I270" s="305"/>
      <c r="J270" s="305"/>
      <c r="K270" s="287"/>
    </row>
    <row r="271" spans="1:11" x14ac:dyDescent="0.25">
      <c r="A271" s="287"/>
      <c r="B271" s="287"/>
      <c r="C271" s="287"/>
      <c r="D271" s="287"/>
      <c r="E271" s="287"/>
      <c r="F271" s="287"/>
      <c r="G271" s="402"/>
      <c r="H271" s="305"/>
      <c r="I271" s="305"/>
      <c r="J271" s="305"/>
      <c r="K271" s="287"/>
    </row>
    <row r="272" spans="1:11" x14ac:dyDescent="0.25">
      <c r="A272" s="287"/>
      <c r="B272" s="287"/>
      <c r="C272" s="287"/>
      <c r="D272" s="287"/>
      <c r="E272" s="287"/>
      <c r="F272" s="287"/>
      <c r="G272" s="402"/>
      <c r="H272" s="305"/>
      <c r="I272" s="305"/>
      <c r="J272" s="305"/>
      <c r="K272" s="287"/>
    </row>
    <row r="273" spans="1:11" x14ac:dyDescent="0.25">
      <c r="A273" s="287"/>
      <c r="B273" s="287"/>
      <c r="C273" s="287"/>
      <c r="D273" s="287"/>
      <c r="E273" s="287"/>
      <c r="F273" s="287"/>
      <c r="G273" s="402"/>
      <c r="H273" s="305"/>
      <c r="I273" s="305"/>
      <c r="J273" s="305"/>
      <c r="K273" s="287"/>
    </row>
    <row r="274" spans="1:11" x14ac:dyDescent="0.25">
      <c r="A274" s="287"/>
      <c r="B274" s="287"/>
      <c r="C274" s="287"/>
      <c r="D274" s="287"/>
      <c r="E274" s="287"/>
      <c r="F274" s="287"/>
      <c r="G274" s="402"/>
      <c r="H274" s="305"/>
      <c r="I274" s="305"/>
      <c r="J274" s="305"/>
      <c r="K274" s="287"/>
    </row>
    <row r="275" spans="1:11" x14ac:dyDescent="0.25">
      <c r="A275" s="287"/>
      <c r="B275" s="287"/>
      <c r="C275" s="287"/>
      <c r="D275" s="287"/>
      <c r="E275" s="287"/>
      <c r="F275" s="287"/>
      <c r="G275" s="402"/>
      <c r="H275" s="305"/>
      <c r="I275" s="305"/>
      <c r="J275" s="305"/>
      <c r="K275" s="287"/>
    </row>
    <row r="276" spans="1:11" x14ac:dyDescent="0.25">
      <c r="A276" s="287"/>
      <c r="B276" s="287"/>
      <c r="C276" s="287"/>
      <c r="D276" s="287"/>
      <c r="E276" s="287"/>
      <c r="F276" s="287"/>
      <c r="G276" s="402"/>
      <c r="H276" s="305"/>
      <c r="I276" s="305"/>
      <c r="J276" s="305"/>
      <c r="K276" s="287"/>
    </row>
    <row r="277" spans="1:11" x14ac:dyDescent="0.25">
      <c r="A277" s="287"/>
      <c r="B277" s="287"/>
      <c r="C277" s="287"/>
      <c r="D277" s="287"/>
      <c r="E277" s="287"/>
      <c r="F277" s="287"/>
      <c r="G277" s="402"/>
      <c r="H277" s="305"/>
      <c r="I277" s="305"/>
      <c r="J277" s="305"/>
      <c r="K277" s="287"/>
    </row>
    <row r="278" spans="1:11" x14ac:dyDescent="0.25">
      <c r="A278" s="287"/>
      <c r="B278" s="287"/>
      <c r="C278" s="287"/>
      <c r="D278" s="287"/>
      <c r="E278" s="287"/>
      <c r="F278" s="287"/>
      <c r="G278" s="402"/>
      <c r="H278" s="305"/>
      <c r="I278" s="305"/>
      <c r="J278" s="305"/>
      <c r="K278" s="287"/>
    </row>
    <row r="279" spans="1:11" x14ac:dyDescent="0.25">
      <c r="A279" s="287"/>
      <c r="B279" s="287"/>
      <c r="C279" s="287"/>
      <c r="D279" s="287"/>
      <c r="E279" s="287"/>
      <c r="F279" s="287"/>
      <c r="G279" s="402"/>
      <c r="H279" s="305"/>
      <c r="I279" s="305"/>
      <c r="J279" s="305"/>
      <c r="K279" s="287"/>
    </row>
    <row r="280" spans="1:11" x14ac:dyDescent="0.25">
      <c r="A280" s="287"/>
      <c r="B280" s="287"/>
      <c r="C280" s="287"/>
      <c r="D280" s="287"/>
      <c r="E280" s="287"/>
      <c r="F280" s="287"/>
      <c r="G280" s="402"/>
      <c r="H280" s="305"/>
      <c r="I280" s="305"/>
      <c r="J280" s="305"/>
      <c r="K280" s="287"/>
    </row>
    <row r="281" spans="1:11" x14ac:dyDescent="0.25">
      <c r="A281" s="287"/>
      <c r="B281" s="287"/>
      <c r="C281" s="287"/>
      <c r="D281" s="287"/>
      <c r="E281" s="287"/>
      <c r="F281" s="287"/>
      <c r="G281" s="402"/>
      <c r="H281" s="305"/>
      <c r="I281" s="305"/>
      <c r="J281" s="305"/>
      <c r="K281" s="287"/>
    </row>
    <row r="282" spans="1:11" x14ac:dyDescent="0.25">
      <c r="A282" s="287"/>
      <c r="B282" s="287"/>
      <c r="C282" s="287"/>
      <c r="D282" s="287"/>
      <c r="E282" s="287"/>
      <c r="F282" s="287"/>
      <c r="G282" s="402"/>
      <c r="H282" s="305"/>
      <c r="I282" s="305"/>
      <c r="J282" s="305"/>
      <c r="K282" s="287"/>
    </row>
    <row r="283" spans="1:11" x14ac:dyDescent="0.25">
      <c r="A283" s="287"/>
      <c r="B283" s="287"/>
      <c r="C283" s="287"/>
      <c r="D283" s="287"/>
      <c r="E283" s="287"/>
      <c r="F283" s="287"/>
      <c r="G283" s="402"/>
      <c r="H283" s="305"/>
      <c r="I283" s="305"/>
      <c r="J283" s="305"/>
      <c r="K283" s="287"/>
    </row>
    <row r="284" spans="1:11" x14ac:dyDescent="0.25">
      <c r="A284" s="287"/>
      <c r="B284" s="287"/>
      <c r="C284" s="287"/>
      <c r="D284" s="287"/>
      <c r="E284" s="287"/>
      <c r="F284" s="287"/>
      <c r="G284" s="402"/>
      <c r="H284" s="305"/>
      <c r="I284" s="305"/>
      <c r="J284" s="305"/>
      <c r="K284" s="287"/>
    </row>
    <row r="285" spans="1:11" x14ac:dyDescent="0.25">
      <c r="A285" s="287"/>
      <c r="B285" s="287"/>
      <c r="C285" s="287"/>
      <c r="D285" s="287"/>
      <c r="E285" s="287"/>
      <c r="F285" s="287"/>
      <c r="G285" s="402"/>
      <c r="H285" s="305"/>
      <c r="I285" s="305"/>
      <c r="J285" s="305"/>
      <c r="K285" s="287"/>
    </row>
    <row r="286" spans="1:11" x14ac:dyDescent="0.25">
      <c r="A286" s="287"/>
      <c r="B286" s="287"/>
      <c r="C286" s="287"/>
      <c r="D286" s="287"/>
      <c r="E286" s="287"/>
      <c r="F286" s="287"/>
      <c r="G286" s="402"/>
      <c r="H286" s="305"/>
      <c r="I286" s="305"/>
      <c r="J286" s="305"/>
      <c r="K286" s="287"/>
    </row>
    <row r="287" spans="1:11" x14ac:dyDescent="0.25">
      <c r="A287" s="287"/>
      <c r="B287" s="287"/>
      <c r="C287" s="287"/>
      <c r="D287" s="287"/>
      <c r="E287" s="287"/>
      <c r="F287" s="287"/>
      <c r="G287" s="402"/>
      <c r="H287" s="305"/>
      <c r="I287" s="305"/>
      <c r="J287" s="305"/>
      <c r="K287" s="287"/>
    </row>
    <row r="288" spans="1:11" x14ac:dyDescent="0.25">
      <c r="A288" s="287"/>
      <c r="B288" s="287"/>
      <c r="C288" s="287"/>
      <c r="D288" s="287"/>
      <c r="E288" s="287"/>
      <c r="F288" s="287"/>
      <c r="G288" s="402"/>
      <c r="H288" s="305"/>
      <c r="I288" s="305"/>
      <c r="J288" s="305"/>
      <c r="K288" s="287"/>
    </row>
    <row r="289" spans="1:11" x14ac:dyDescent="0.25">
      <c r="A289" s="287"/>
      <c r="B289" s="287"/>
      <c r="C289" s="287"/>
      <c r="D289" s="287"/>
      <c r="E289" s="287"/>
      <c r="F289" s="287"/>
      <c r="G289" s="402"/>
      <c r="H289" s="305"/>
      <c r="I289" s="305"/>
      <c r="J289" s="305"/>
      <c r="K289" s="287"/>
    </row>
    <row r="290" spans="1:11" x14ac:dyDescent="0.25">
      <c r="A290" s="287"/>
      <c r="B290" s="287"/>
      <c r="C290" s="287"/>
      <c r="D290" s="287"/>
      <c r="E290" s="287"/>
      <c r="F290" s="287"/>
      <c r="G290" s="402"/>
      <c r="H290" s="305"/>
      <c r="I290" s="305"/>
      <c r="J290" s="305"/>
      <c r="K290" s="287"/>
    </row>
    <row r="291" spans="1:11" x14ac:dyDescent="0.25">
      <c r="A291" s="287"/>
      <c r="B291" s="287"/>
      <c r="C291" s="287"/>
      <c r="D291" s="287"/>
      <c r="E291" s="287"/>
      <c r="F291" s="287"/>
      <c r="G291" s="402"/>
      <c r="H291" s="305"/>
      <c r="I291" s="305"/>
      <c r="J291" s="305"/>
      <c r="K291" s="287"/>
    </row>
    <row r="292" spans="1:11" x14ac:dyDescent="0.25">
      <c r="A292" s="287"/>
      <c r="B292" s="287"/>
      <c r="C292" s="287"/>
      <c r="D292" s="287"/>
      <c r="E292" s="287"/>
      <c r="F292" s="287"/>
      <c r="G292" s="402"/>
      <c r="H292" s="305"/>
      <c r="I292" s="305"/>
      <c r="J292" s="305"/>
      <c r="K292" s="287"/>
    </row>
    <row r="293" spans="1:11" x14ac:dyDescent="0.25">
      <c r="A293" s="287"/>
      <c r="B293" s="287"/>
      <c r="C293" s="287"/>
      <c r="D293" s="287"/>
      <c r="E293" s="287"/>
      <c r="F293" s="287"/>
      <c r="G293" s="402"/>
      <c r="H293" s="305"/>
      <c r="I293" s="305"/>
      <c r="J293" s="305"/>
      <c r="K293" s="287"/>
    </row>
    <row r="294" spans="1:11" x14ac:dyDescent="0.25">
      <c r="A294" s="287"/>
      <c r="B294" s="287"/>
      <c r="C294" s="287"/>
      <c r="D294" s="287"/>
      <c r="E294" s="287"/>
      <c r="F294" s="287"/>
      <c r="G294" s="402"/>
      <c r="H294" s="305"/>
      <c r="I294" s="305"/>
      <c r="J294" s="305"/>
      <c r="K294" s="287"/>
    </row>
    <row r="295" spans="1:11" x14ac:dyDescent="0.25">
      <c r="A295" s="287"/>
      <c r="B295" s="287"/>
      <c r="C295" s="287"/>
      <c r="D295" s="287"/>
      <c r="E295" s="287"/>
      <c r="F295" s="287"/>
      <c r="G295" s="402"/>
      <c r="H295" s="305"/>
      <c r="I295" s="305"/>
      <c r="J295" s="305"/>
      <c r="K295" s="287"/>
    </row>
    <row r="296" spans="1:11" x14ac:dyDescent="0.25">
      <c r="A296" s="287"/>
      <c r="B296" s="287"/>
      <c r="C296" s="287"/>
      <c r="D296" s="287"/>
      <c r="E296" s="287"/>
      <c r="F296" s="287"/>
      <c r="G296" s="402"/>
      <c r="H296" s="305"/>
      <c r="I296" s="305"/>
      <c r="J296" s="305"/>
      <c r="K296" s="287"/>
    </row>
    <row r="297" spans="1:11" x14ac:dyDescent="0.25">
      <c r="A297" s="287"/>
      <c r="B297" s="287"/>
      <c r="C297" s="287"/>
      <c r="D297" s="287"/>
      <c r="E297" s="287"/>
      <c r="F297" s="287"/>
      <c r="G297" s="402"/>
      <c r="H297" s="305"/>
      <c r="I297" s="305"/>
      <c r="J297" s="305"/>
      <c r="K297" s="287"/>
    </row>
    <row r="298" spans="1:11" x14ac:dyDescent="0.25">
      <c r="A298" s="287"/>
      <c r="B298" s="287"/>
      <c r="C298" s="287"/>
      <c r="D298" s="287"/>
      <c r="E298" s="287"/>
      <c r="F298" s="287"/>
      <c r="G298" s="402"/>
      <c r="H298" s="305"/>
      <c r="I298" s="305"/>
      <c r="J298" s="305"/>
      <c r="K298" s="287"/>
    </row>
    <row r="299" spans="1:11" x14ac:dyDescent="0.25">
      <c r="A299" s="287"/>
      <c r="B299" s="287"/>
      <c r="C299" s="287"/>
      <c r="D299" s="287"/>
      <c r="E299" s="287"/>
      <c r="F299" s="287"/>
      <c r="G299" s="402"/>
      <c r="H299" s="305"/>
      <c r="I299" s="305"/>
      <c r="J299" s="305"/>
      <c r="K299" s="287"/>
    </row>
    <row r="300" spans="1:11" x14ac:dyDescent="0.25">
      <c r="A300" s="287"/>
      <c r="B300" s="287"/>
      <c r="C300" s="287"/>
      <c r="D300" s="287"/>
      <c r="E300" s="287"/>
      <c r="F300" s="287"/>
      <c r="G300" s="402"/>
      <c r="H300" s="305"/>
      <c r="I300" s="305"/>
      <c r="J300" s="305"/>
      <c r="K300" s="287"/>
    </row>
    <row r="301" spans="1:11" x14ac:dyDescent="0.25">
      <c r="A301" s="287"/>
      <c r="B301" s="287"/>
      <c r="C301" s="287"/>
      <c r="D301" s="287"/>
      <c r="E301" s="287"/>
      <c r="F301" s="287"/>
      <c r="G301" s="402"/>
      <c r="H301" s="305"/>
      <c r="I301" s="305"/>
      <c r="J301" s="305"/>
      <c r="K301" s="287"/>
    </row>
    <row r="302" spans="1:11" x14ac:dyDescent="0.25">
      <c r="A302" s="287"/>
      <c r="B302" s="287"/>
      <c r="C302" s="287"/>
      <c r="D302" s="287"/>
      <c r="E302" s="287"/>
      <c r="F302" s="287"/>
      <c r="G302" s="402"/>
      <c r="H302" s="305"/>
      <c r="I302" s="305"/>
      <c r="J302" s="305"/>
      <c r="K302" s="287"/>
    </row>
    <row r="303" spans="1:11" x14ac:dyDescent="0.25">
      <c r="A303" s="287"/>
      <c r="B303" s="287"/>
      <c r="C303" s="287"/>
      <c r="D303" s="287"/>
      <c r="E303" s="287"/>
      <c r="F303" s="287"/>
      <c r="G303" s="402"/>
      <c r="H303" s="305"/>
      <c r="I303" s="305"/>
      <c r="J303" s="305"/>
      <c r="K303" s="287"/>
    </row>
    <row r="304" spans="1:11" x14ac:dyDescent="0.25">
      <c r="A304" s="287"/>
      <c r="B304" s="287"/>
      <c r="C304" s="287"/>
      <c r="D304" s="287"/>
      <c r="E304" s="287"/>
      <c r="F304" s="287"/>
      <c r="G304" s="402"/>
      <c r="H304" s="305"/>
      <c r="I304" s="305"/>
      <c r="J304" s="305"/>
      <c r="K304" s="287"/>
    </row>
    <row r="305" spans="1:11" x14ac:dyDescent="0.25">
      <c r="A305" s="287"/>
      <c r="B305" s="287"/>
      <c r="C305" s="287"/>
      <c r="D305" s="287"/>
      <c r="E305" s="287"/>
      <c r="F305" s="287"/>
      <c r="G305" s="402"/>
      <c r="H305" s="305"/>
      <c r="I305" s="305"/>
      <c r="J305" s="305"/>
      <c r="K305" s="287"/>
    </row>
    <row r="306" spans="1:11" x14ac:dyDescent="0.25">
      <c r="A306" s="287"/>
      <c r="B306" s="287"/>
      <c r="C306" s="287"/>
      <c r="D306" s="287"/>
      <c r="E306" s="287"/>
      <c r="F306" s="287"/>
      <c r="G306" s="402"/>
      <c r="H306" s="305"/>
      <c r="I306" s="305"/>
      <c r="J306" s="305"/>
      <c r="K306" s="287"/>
    </row>
    <row r="307" spans="1:11" x14ac:dyDescent="0.25">
      <c r="A307" s="287"/>
      <c r="B307" s="287"/>
      <c r="C307" s="287"/>
      <c r="D307" s="287"/>
      <c r="E307" s="287"/>
      <c r="F307" s="287"/>
      <c r="G307" s="402"/>
      <c r="H307" s="305"/>
      <c r="I307" s="305"/>
      <c r="J307" s="305"/>
      <c r="K307" s="287"/>
    </row>
    <row r="308" spans="1:11" x14ac:dyDescent="0.25">
      <c r="A308" s="287"/>
      <c r="B308" s="287"/>
      <c r="C308" s="287"/>
      <c r="D308" s="287"/>
      <c r="E308" s="287"/>
      <c r="F308" s="287"/>
      <c r="G308" s="402"/>
      <c r="H308" s="305"/>
      <c r="I308" s="305"/>
      <c r="J308" s="305"/>
      <c r="K308" s="287"/>
    </row>
    <row r="309" spans="1:11" x14ac:dyDescent="0.25">
      <c r="A309" s="287"/>
      <c r="B309" s="287"/>
      <c r="C309" s="287"/>
      <c r="D309" s="287"/>
      <c r="E309" s="287"/>
      <c r="F309" s="287"/>
      <c r="G309" s="402"/>
      <c r="H309" s="305"/>
      <c r="I309" s="305"/>
      <c r="J309" s="305"/>
      <c r="K309" s="287"/>
    </row>
    <row r="310" spans="1:11" x14ac:dyDescent="0.25">
      <c r="A310" s="287"/>
      <c r="B310" s="287"/>
      <c r="C310" s="287"/>
      <c r="D310" s="287"/>
      <c r="E310" s="287"/>
      <c r="F310" s="287"/>
      <c r="G310" s="402"/>
      <c r="H310" s="305"/>
      <c r="I310" s="305"/>
      <c r="J310" s="305"/>
      <c r="K310" s="287"/>
    </row>
    <row r="311" spans="1:11" x14ac:dyDescent="0.25">
      <c r="A311" s="287"/>
      <c r="B311" s="287"/>
      <c r="C311" s="287"/>
      <c r="D311" s="287"/>
      <c r="E311" s="287"/>
      <c r="F311" s="287"/>
      <c r="G311" s="402"/>
      <c r="H311" s="305"/>
      <c r="I311" s="305"/>
      <c r="J311" s="305"/>
      <c r="K311" s="287"/>
    </row>
    <row r="312" spans="1:11" x14ac:dyDescent="0.25">
      <c r="A312" s="287"/>
      <c r="B312" s="287"/>
      <c r="C312" s="287"/>
      <c r="D312" s="287"/>
      <c r="E312" s="287"/>
      <c r="F312" s="287"/>
      <c r="G312" s="402"/>
      <c r="H312" s="305"/>
      <c r="I312" s="305"/>
      <c r="J312" s="305"/>
      <c r="K312" s="287"/>
    </row>
    <row r="313" spans="1:11" x14ac:dyDescent="0.25">
      <c r="A313" s="287"/>
      <c r="B313" s="287"/>
      <c r="C313" s="287"/>
      <c r="D313" s="287"/>
      <c r="E313" s="287"/>
      <c r="F313" s="287"/>
      <c r="G313" s="402"/>
      <c r="H313" s="305"/>
      <c r="I313" s="305"/>
      <c r="J313" s="305"/>
      <c r="K313" s="287"/>
    </row>
    <row r="314" spans="1:11" x14ac:dyDescent="0.25">
      <c r="A314" s="287"/>
      <c r="B314" s="287"/>
      <c r="C314" s="287"/>
      <c r="D314" s="287"/>
      <c r="E314" s="287"/>
      <c r="F314" s="287"/>
      <c r="G314" s="402"/>
      <c r="H314" s="305"/>
      <c r="I314" s="305"/>
      <c r="J314" s="305"/>
      <c r="K314" s="287"/>
    </row>
    <row r="315" spans="1:11" x14ac:dyDescent="0.25">
      <c r="A315" s="287"/>
      <c r="B315" s="287"/>
      <c r="C315" s="287"/>
      <c r="D315" s="287"/>
      <c r="E315" s="287"/>
      <c r="F315" s="287"/>
      <c r="G315" s="402"/>
      <c r="H315" s="305"/>
      <c r="I315" s="305"/>
      <c r="J315" s="305"/>
      <c r="K315" s="287"/>
    </row>
    <row r="316" spans="1:11" x14ac:dyDescent="0.25">
      <c r="A316" s="287"/>
      <c r="B316" s="287"/>
      <c r="C316" s="287"/>
      <c r="D316" s="287"/>
      <c r="E316" s="287"/>
      <c r="F316" s="287"/>
      <c r="G316" s="402"/>
      <c r="H316" s="305"/>
      <c r="I316" s="305"/>
      <c r="J316" s="305"/>
      <c r="K316" s="287"/>
    </row>
    <row r="317" spans="1:11" x14ac:dyDescent="0.25">
      <c r="A317" s="287"/>
      <c r="B317" s="287"/>
      <c r="C317" s="287"/>
      <c r="D317" s="287"/>
      <c r="E317" s="287"/>
      <c r="F317" s="287"/>
      <c r="G317" s="402"/>
      <c r="H317" s="305"/>
      <c r="I317" s="305"/>
      <c r="J317" s="305"/>
      <c r="K317" s="287"/>
    </row>
    <row r="318" spans="1:11" x14ac:dyDescent="0.25">
      <c r="A318" s="287"/>
      <c r="B318" s="287"/>
      <c r="C318" s="287"/>
      <c r="D318" s="287"/>
      <c r="E318" s="287"/>
      <c r="F318" s="287"/>
      <c r="G318" s="402"/>
      <c r="H318" s="305"/>
      <c r="I318" s="305"/>
      <c r="J318" s="305"/>
      <c r="K318" s="287"/>
    </row>
    <row r="319" spans="1:11" x14ac:dyDescent="0.25">
      <c r="A319" s="287"/>
      <c r="B319" s="287"/>
      <c r="C319" s="287"/>
      <c r="D319" s="287"/>
      <c r="E319" s="287"/>
      <c r="F319" s="287"/>
      <c r="G319" s="402"/>
      <c r="H319" s="305"/>
      <c r="I319" s="305"/>
      <c r="J319" s="305"/>
      <c r="K319" s="287"/>
    </row>
    <row r="320" spans="1:11" x14ac:dyDescent="0.25">
      <c r="A320" s="287"/>
      <c r="B320" s="287"/>
      <c r="C320" s="287"/>
      <c r="D320" s="287"/>
      <c r="E320" s="287"/>
      <c r="F320" s="287"/>
      <c r="G320" s="402"/>
      <c r="H320" s="305"/>
      <c r="I320" s="305"/>
      <c r="J320" s="305"/>
      <c r="K320" s="287"/>
    </row>
    <row r="321" spans="1:11" x14ac:dyDescent="0.25">
      <c r="A321" s="287"/>
      <c r="B321" s="287"/>
      <c r="C321" s="287"/>
      <c r="D321" s="287"/>
      <c r="E321" s="287"/>
      <c r="F321" s="287"/>
      <c r="G321" s="402"/>
      <c r="H321" s="305"/>
      <c r="I321" s="305"/>
      <c r="J321" s="305"/>
      <c r="K321" s="287"/>
    </row>
    <row r="322" spans="1:11" x14ac:dyDescent="0.25">
      <c r="A322" s="287"/>
      <c r="B322" s="287"/>
      <c r="C322" s="287"/>
      <c r="D322" s="287"/>
      <c r="E322" s="287"/>
      <c r="F322" s="287"/>
      <c r="G322" s="402"/>
      <c r="H322" s="305"/>
      <c r="I322" s="305"/>
      <c r="J322" s="305"/>
      <c r="K322" s="287"/>
    </row>
    <row r="323" spans="1:11" x14ac:dyDescent="0.25">
      <c r="A323" s="287"/>
      <c r="B323" s="287"/>
      <c r="C323" s="287"/>
      <c r="D323" s="287"/>
      <c r="E323" s="287"/>
      <c r="F323" s="287"/>
      <c r="G323" s="402"/>
      <c r="H323" s="305"/>
      <c r="I323" s="305"/>
      <c r="J323" s="305"/>
      <c r="K323" s="287"/>
    </row>
    <row r="324" spans="1:11" x14ac:dyDescent="0.25">
      <c r="A324" s="287"/>
      <c r="B324" s="287"/>
      <c r="C324" s="287"/>
      <c r="D324" s="287"/>
      <c r="E324" s="287"/>
      <c r="F324" s="287"/>
      <c r="G324" s="402"/>
      <c r="H324" s="305"/>
      <c r="I324" s="305"/>
      <c r="J324" s="305"/>
      <c r="K324" s="287"/>
    </row>
    <row r="325" spans="1:11" x14ac:dyDescent="0.25">
      <c r="A325" s="287"/>
      <c r="B325" s="287"/>
      <c r="C325" s="287"/>
      <c r="D325" s="287"/>
      <c r="E325" s="287"/>
      <c r="F325" s="287"/>
      <c r="G325" s="402"/>
      <c r="H325" s="305"/>
      <c r="I325" s="305"/>
      <c r="J325" s="305"/>
      <c r="K325" s="287"/>
    </row>
    <row r="326" spans="1:11" x14ac:dyDescent="0.25">
      <c r="A326" s="287"/>
      <c r="B326" s="287"/>
      <c r="C326" s="287"/>
      <c r="D326" s="287"/>
      <c r="E326" s="287"/>
      <c r="F326" s="287"/>
      <c r="G326" s="402"/>
      <c r="H326" s="305"/>
      <c r="I326" s="305"/>
      <c r="J326" s="305"/>
      <c r="K326" s="287"/>
    </row>
    <row r="327" spans="1:11" x14ac:dyDescent="0.25">
      <c r="A327" s="287"/>
      <c r="B327" s="287"/>
      <c r="C327" s="287"/>
      <c r="D327" s="287"/>
      <c r="E327" s="287"/>
      <c r="F327" s="287"/>
      <c r="G327" s="402"/>
      <c r="H327" s="305"/>
      <c r="I327" s="305"/>
      <c r="J327" s="305"/>
      <c r="K327" s="287"/>
    </row>
    <row r="328" spans="1:11" x14ac:dyDescent="0.25">
      <c r="A328" s="287"/>
      <c r="B328" s="287"/>
      <c r="C328" s="287"/>
      <c r="D328" s="287"/>
      <c r="E328" s="287"/>
      <c r="F328" s="287"/>
      <c r="G328" s="402"/>
      <c r="H328" s="305"/>
      <c r="I328" s="305"/>
      <c r="J328" s="305"/>
      <c r="K328" s="287"/>
    </row>
    <row r="329" spans="1:11" x14ac:dyDescent="0.25">
      <c r="A329" s="287"/>
      <c r="B329" s="287"/>
      <c r="C329" s="287"/>
      <c r="D329" s="287"/>
      <c r="E329" s="287"/>
      <c r="F329" s="287"/>
      <c r="G329" s="402"/>
      <c r="H329" s="305"/>
      <c r="I329" s="305"/>
      <c r="J329" s="305"/>
      <c r="K329" s="287"/>
    </row>
    <row r="330" spans="1:11" x14ac:dyDescent="0.25">
      <c r="A330" s="287"/>
      <c r="B330" s="287"/>
      <c r="C330" s="287"/>
      <c r="D330" s="287"/>
      <c r="E330" s="287"/>
      <c r="F330" s="287"/>
      <c r="G330" s="402"/>
      <c r="H330" s="305"/>
      <c r="I330" s="305"/>
      <c r="J330" s="305"/>
      <c r="K330" s="287"/>
    </row>
    <row r="331" spans="1:11" x14ac:dyDescent="0.25">
      <c r="A331" s="287"/>
      <c r="B331" s="287"/>
      <c r="C331" s="287"/>
      <c r="D331" s="287"/>
      <c r="E331" s="287"/>
      <c r="F331" s="287"/>
      <c r="G331" s="402"/>
      <c r="H331" s="305"/>
      <c r="I331" s="305"/>
      <c r="J331" s="305"/>
      <c r="K331" s="287"/>
    </row>
    <row r="332" spans="1:11" x14ac:dyDescent="0.25">
      <c r="A332" s="287"/>
      <c r="B332" s="287"/>
      <c r="C332" s="287"/>
      <c r="D332" s="287"/>
      <c r="E332" s="287"/>
      <c r="F332" s="287"/>
      <c r="G332" s="402"/>
      <c r="H332" s="305"/>
      <c r="I332" s="305"/>
      <c r="J332" s="305"/>
      <c r="K332" s="287"/>
    </row>
    <row r="333" spans="1:11" x14ac:dyDescent="0.25">
      <c r="A333" s="287"/>
      <c r="B333" s="287"/>
      <c r="C333" s="287"/>
      <c r="D333" s="287"/>
      <c r="E333" s="287"/>
      <c r="F333" s="287"/>
      <c r="G333" s="402"/>
      <c r="H333" s="305"/>
      <c r="I333" s="305"/>
      <c r="J333" s="305"/>
      <c r="K333" s="287"/>
    </row>
    <row r="334" spans="1:11" x14ac:dyDescent="0.25">
      <c r="A334" s="287"/>
      <c r="B334" s="287"/>
      <c r="C334" s="287"/>
      <c r="D334" s="287"/>
      <c r="E334" s="287"/>
      <c r="F334" s="287"/>
      <c r="G334" s="402"/>
      <c r="H334" s="305"/>
      <c r="I334" s="305"/>
      <c r="J334" s="305"/>
      <c r="K334" s="287"/>
    </row>
    <row r="335" spans="1:11" x14ac:dyDescent="0.25">
      <c r="A335" s="287"/>
      <c r="B335" s="287"/>
      <c r="C335" s="287"/>
      <c r="D335" s="287"/>
      <c r="E335" s="287"/>
      <c r="F335" s="287"/>
      <c r="G335" s="402"/>
      <c r="H335" s="305"/>
      <c r="I335" s="305"/>
      <c r="J335" s="305"/>
      <c r="K335" s="287"/>
    </row>
    <row r="336" spans="1:11" x14ac:dyDescent="0.25">
      <c r="A336" s="287"/>
      <c r="B336" s="287"/>
      <c r="C336" s="287"/>
      <c r="D336" s="287"/>
      <c r="E336" s="287"/>
      <c r="F336" s="287"/>
      <c r="G336" s="402"/>
      <c r="H336" s="305"/>
      <c r="I336" s="305"/>
      <c r="J336" s="305"/>
      <c r="K336" s="287"/>
    </row>
    <row r="337" spans="1:11" x14ac:dyDescent="0.25">
      <c r="A337" s="287"/>
      <c r="B337" s="287"/>
      <c r="C337" s="287"/>
      <c r="D337" s="287"/>
      <c r="E337" s="287"/>
      <c r="F337" s="287"/>
      <c r="G337" s="402"/>
      <c r="H337" s="305"/>
      <c r="I337" s="305"/>
      <c r="J337" s="305"/>
      <c r="K337" s="287"/>
    </row>
    <row r="338" spans="1:11" x14ac:dyDescent="0.25">
      <c r="A338" s="287"/>
      <c r="B338" s="287"/>
      <c r="C338" s="287"/>
      <c r="D338" s="287"/>
      <c r="E338" s="287"/>
      <c r="F338" s="287"/>
      <c r="G338" s="402"/>
      <c r="H338" s="305"/>
      <c r="I338" s="305"/>
      <c r="J338" s="305"/>
      <c r="K338" s="287"/>
    </row>
    <row r="339" spans="1:11" x14ac:dyDescent="0.25">
      <c r="A339" s="287"/>
      <c r="B339" s="287"/>
      <c r="C339" s="287"/>
      <c r="D339" s="287"/>
      <c r="E339" s="287"/>
      <c r="F339" s="287"/>
      <c r="G339" s="402"/>
      <c r="H339" s="305"/>
      <c r="I339" s="305"/>
      <c r="J339" s="305"/>
      <c r="K339" s="287"/>
    </row>
    <row r="340" spans="1:11" x14ac:dyDescent="0.25">
      <c r="A340" s="287"/>
      <c r="B340" s="287"/>
      <c r="C340" s="287"/>
      <c r="D340" s="287"/>
      <c r="E340" s="287"/>
      <c r="F340" s="287"/>
      <c r="G340" s="402"/>
      <c r="H340" s="305"/>
      <c r="I340" s="305"/>
      <c r="J340" s="305"/>
      <c r="K340" s="287"/>
    </row>
    <row r="341" spans="1:11" x14ac:dyDescent="0.25">
      <c r="A341" s="287"/>
      <c r="B341" s="287"/>
      <c r="C341" s="287"/>
      <c r="D341" s="287"/>
      <c r="E341" s="287"/>
      <c r="F341" s="287"/>
      <c r="G341" s="402"/>
      <c r="H341" s="305"/>
      <c r="I341" s="305"/>
      <c r="J341" s="305"/>
      <c r="K341" s="287"/>
    </row>
    <row r="342" spans="1:11" x14ac:dyDescent="0.25">
      <c r="A342" s="287"/>
      <c r="B342" s="287"/>
      <c r="C342" s="287"/>
      <c r="D342" s="287"/>
      <c r="E342" s="287"/>
      <c r="F342" s="287"/>
      <c r="G342" s="402"/>
      <c r="H342" s="305"/>
      <c r="I342" s="305"/>
      <c r="J342" s="305"/>
      <c r="K342" s="287"/>
    </row>
    <row r="343" spans="1:11" x14ac:dyDescent="0.25">
      <c r="A343" s="287"/>
      <c r="B343" s="287"/>
      <c r="C343" s="287"/>
      <c r="D343" s="287"/>
      <c r="E343" s="287"/>
      <c r="F343" s="287"/>
      <c r="G343" s="402"/>
      <c r="H343" s="305"/>
      <c r="I343" s="305"/>
      <c r="J343" s="305"/>
      <c r="K343" s="287"/>
    </row>
    <row r="344" spans="1:11" x14ac:dyDescent="0.25">
      <c r="A344" s="287"/>
      <c r="B344" s="287"/>
      <c r="C344" s="287"/>
      <c r="D344" s="287"/>
      <c r="E344" s="287"/>
      <c r="F344" s="287"/>
      <c r="G344" s="402"/>
      <c r="H344" s="305"/>
      <c r="I344" s="305"/>
      <c r="J344" s="305"/>
      <c r="K344" s="287"/>
    </row>
    <row r="345" spans="1:11" x14ac:dyDescent="0.25">
      <c r="A345" s="287"/>
      <c r="B345" s="287"/>
      <c r="C345" s="287"/>
      <c r="D345" s="287"/>
      <c r="E345" s="287"/>
      <c r="F345" s="287"/>
      <c r="G345" s="402"/>
      <c r="H345" s="305"/>
      <c r="I345" s="305"/>
      <c r="J345" s="305"/>
      <c r="K345" s="287"/>
    </row>
    <row r="346" spans="1:11" x14ac:dyDescent="0.25">
      <c r="A346" s="287"/>
      <c r="B346" s="287"/>
      <c r="C346" s="287"/>
      <c r="D346" s="287"/>
      <c r="E346" s="287"/>
      <c r="F346" s="287"/>
      <c r="G346" s="402"/>
      <c r="H346" s="305"/>
      <c r="I346" s="305"/>
      <c r="J346" s="305"/>
      <c r="K346" s="287"/>
    </row>
    <row r="347" spans="1:11" x14ac:dyDescent="0.25">
      <c r="A347" s="287"/>
      <c r="B347" s="287"/>
      <c r="C347" s="287"/>
      <c r="D347" s="287"/>
      <c r="E347" s="287"/>
      <c r="F347" s="287"/>
      <c r="G347" s="402"/>
      <c r="H347" s="305"/>
      <c r="I347" s="305"/>
      <c r="J347" s="305"/>
      <c r="K347" s="287"/>
    </row>
    <row r="348" spans="1:11" x14ac:dyDescent="0.25">
      <c r="A348" s="287"/>
      <c r="B348" s="287"/>
      <c r="C348" s="287"/>
      <c r="D348" s="287"/>
      <c r="E348" s="287"/>
      <c r="F348" s="287"/>
      <c r="G348" s="402"/>
      <c r="H348" s="305"/>
      <c r="I348" s="305"/>
      <c r="J348" s="305"/>
      <c r="K348" s="287"/>
    </row>
    <row r="349" spans="1:11" x14ac:dyDescent="0.25">
      <c r="A349" s="287"/>
      <c r="B349" s="287"/>
      <c r="C349" s="287"/>
      <c r="D349" s="287"/>
      <c r="E349" s="287"/>
      <c r="F349" s="287"/>
      <c r="G349" s="402"/>
      <c r="H349" s="305"/>
      <c r="I349" s="305"/>
      <c r="J349" s="305"/>
      <c r="K349" s="287"/>
    </row>
    <row r="350" spans="1:11" x14ac:dyDescent="0.25">
      <c r="A350" s="287"/>
      <c r="B350" s="287"/>
      <c r="C350" s="287"/>
      <c r="D350" s="287"/>
      <c r="E350" s="287"/>
      <c r="F350" s="287"/>
      <c r="G350" s="402"/>
      <c r="H350" s="305"/>
      <c r="I350" s="305"/>
      <c r="J350" s="305"/>
      <c r="K350" s="287"/>
    </row>
    <row r="351" spans="1:11" x14ac:dyDescent="0.25">
      <c r="A351" s="287"/>
      <c r="B351" s="287"/>
      <c r="C351" s="287"/>
      <c r="D351" s="287"/>
      <c r="E351" s="287"/>
      <c r="F351" s="287"/>
      <c r="G351" s="402"/>
      <c r="H351" s="305"/>
      <c r="I351" s="305"/>
      <c r="J351" s="305"/>
      <c r="K351" s="287"/>
    </row>
    <row r="352" spans="1:11" x14ac:dyDescent="0.25">
      <c r="A352" s="287"/>
      <c r="B352" s="287"/>
      <c r="C352" s="287"/>
      <c r="D352" s="287"/>
      <c r="E352" s="287"/>
      <c r="F352" s="287"/>
      <c r="G352" s="402"/>
      <c r="H352" s="305"/>
      <c r="I352" s="305"/>
      <c r="J352" s="305"/>
      <c r="K352" s="287"/>
    </row>
    <row r="353" spans="1:11" x14ac:dyDescent="0.25">
      <c r="A353" s="287"/>
      <c r="B353" s="287"/>
      <c r="C353" s="287"/>
      <c r="D353" s="287"/>
      <c r="E353" s="287"/>
      <c r="F353" s="287"/>
      <c r="G353" s="402"/>
      <c r="H353" s="305"/>
      <c r="I353" s="305"/>
      <c r="J353" s="305"/>
      <c r="K353" s="287"/>
    </row>
    <row r="354" spans="1:11" x14ac:dyDescent="0.25">
      <c r="A354" s="287"/>
      <c r="B354" s="287"/>
      <c r="C354" s="287"/>
      <c r="D354" s="287"/>
      <c r="E354" s="287"/>
      <c r="F354" s="287"/>
      <c r="G354" s="402"/>
      <c r="H354" s="305"/>
      <c r="I354" s="305"/>
      <c r="J354" s="305"/>
      <c r="K354" s="287"/>
    </row>
    <row r="355" spans="1:11" x14ac:dyDescent="0.25">
      <c r="A355" s="287"/>
      <c r="B355" s="287"/>
      <c r="C355" s="287"/>
      <c r="D355" s="287"/>
      <c r="E355" s="287"/>
      <c r="F355" s="287"/>
      <c r="G355" s="402"/>
      <c r="H355" s="305"/>
      <c r="I355" s="305"/>
      <c r="J355" s="305"/>
      <c r="K355" s="287"/>
    </row>
    <row r="356" spans="1:11" x14ac:dyDescent="0.25">
      <c r="A356" s="287"/>
      <c r="B356" s="287"/>
      <c r="C356" s="287"/>
      <c r="D356" s="287"/>
      <c r="E356" s="287"/>
      <c r="F356" s="287"/>
      <c r="G356" s="402"/>
      <c r="H356" s="305"/>
      <c r="I356" s="305"/>
      <c r="J356" s="305"/>
      <c r="K356" s="287"/>
    </row>
    <row r="357" spans="1:11" x14ac:dyDescent="0.25">
      <c r="A357" s="287"/>
      <c r="B357" s="287"/>
      <c r="C357" s="287"/>
      <c r="D357" s="287"/>
      <c r="E357" s="287"/>
      <c r="F357" s="287"/>
      <c r="G357" s="402"/>
      <c r="H357" s="305"/>
      <c r="I357" s="305"/>
      <c r="J357" s="305"/>
      <c r="K357" s="287"/>
    </row>
    <row r="358" spans="1:11" x14ac:dyDescent="0.25">
      <c r="A358" s="287"/>
      <c r="B358" s="287"/>
      <c r="C358" s="287"/>
      <c r="D358" s="287"/>
      <c r="E358" s="287"/>
      <c r="F358" s="287"/>
      <c r="G358" s="402"/>
      <c r="H358" s="305"/>
      <c r="I358" s="305"/>
      <c r="J358" s="305"/>
      <c r="K358" s="287"/>
    </row>
    <row r="359" spans="1:11" x14ac:dyDescent="0.25">
      <c r="A359" s="287"/>
      <c r="B359" s="287"/>
      <c r="C359" s="287"/>
      <c r="D359" s="287"/>
      <c r="E359" s="287"/>
      <c r="F359" s="287"/>
      <c r="G359" s="402"/>
      <c r="H359" s="305"/>
      <c r="I359" s="305"/>
      <c r="J359" s="305"/>
      <c r="K359" s="287"/>
    </row>
    <row r="360" spans="1:11" x14ac:dyDescent="0.25">
      <c r="A360" s="287"/>
      <c r="B360" s="287"/>
      <c r="C360" s="287"/>
      <c r="D360" s="287"/>
      <c r="E360" s="287"/>
      <c r="F360" s="287"/>
      <c r="G360" s="402"/>
      <c r="H360" s="305"/>
      <c r="I360" s="305"/>
      <c r="J360" s="305"/>
      <c r="K360" s="287"/>
    </row>
    <row r="361" spans="1:11" x14ac:dyDescent="0.25">
      <c r="A361" s="287"/>
      <c r="B361" s="287"/>
      <c r="C361" s="287"/>
      <c r="D361" s="287"/>
      <c r="E361" s="287"/>
      <c r="F361" s="287"/>
      <c r="G361" s="402"/>
      <c r="H361" s="305"/>
      <c r="I361" s="305"/>
      <c r="J361" s="305"/>
      <c r="K361" s="287"/>
    </row>
    <row r="362" spans="1:11" x14ac:dyDescent="0.25">
      <c r="A362" s="287"/>
      <c r="B362" s="287"/>
      <c r="C362" s="287"/>
      <c r="D362" s="287"/>
      <c r="E362" s="287"/>
      <c r="F362" s="287"/>
      <c r="G362" s="402"/>
      <c r="H362" s="305"/>
      <c r="I362" s="305"/>
      <c r="J362" s="305"/>
      <c r="K362" s="287"/>
    </row>
    <row r="363" spans="1:11" x14ac:dyDescent="0.25">
      <c r="A363" s="287"/>
      <c r="B363" s="287"/>
      <c r="C363" s="287"/>
      <c r="D363" s="287"/>
      <c r="E363" s="287"/>
      <c r="F363" s="287"/>
      <c r="G363" s="402"/>
      <c r="H363" s="305"/>
      <c r="I363" s="305"/>
      <c r="J363" s="305"/>
      <c r="K363" s="287"/>
    </row>
    <row r="364" spans="1:11" x14ac:dyDescent="0.25">
      <c r="A364" s="287"/>
      <c r="B364" s="287"/>
      <c r="C364" s="287"/>
      <c r="D364" s="287"/>
      <c r="E364" s="287"/>
      <c r="F364" s="287"/>
      <c r="G364" s="402"/>
      <c r="H364" s="305"/>
      <c r="I364" s="305"/>
      <c r="J364" s="305"/>
      <c r="K364" s="287"/>
    </row>
    <row r="365" spans="1:11" x14ac:dyDescent="0.25">
      <c r="A365" s="287"/>
      <c r="B365" s="287"/>
      <c r="C365" s="287"/>
      <c r="D365" s="287"/>
      <c r="E365" s="287"/>
      <c r="F365" s="287"/>
      <c r="G365" s="402"/>
      <c r="H365" s="305"/>
      <c r="I365" s="305"/>
      <c r="J365" s="305"/>
      <c r="K365" s="287"/>
    </row>
    <row r="366" spans="1:11" x14ac:dyDescent="0.25">
      <c r="A366" s="287"/>
      <c r="B366" s="287"/>
      <c r="C366" s="287"/>
      <c r="D366" s="287"/>
      <c r="E366" s="287"/>
      <c r="F366" s="287"/>
      <c r="G366" s="402"/>
      <c r="H366" s="305"/>
      <c r="I366" s="305"/>
      <c r="J366" s="305"/>
      <c r="K366" s="287"/>
    </row>
    <row r="367" spans="1:11" x14ac:dyDescent="0.25">
      <c r="A367" s="287"/>
      <c r="B367" s="287"/>
      <c r="C367" s="287"/>
      <c r="D367" s="287"/>
      <c r="E367" s="287"/>
      <c r="F367" s="287"/>
      <c r="G367" s="402"/>
      <c r="H367" s="305"/>
      <c r="I367" s="305"/>
      <c r="J367" s="305"/>
      <c r="K367" s="287"/>
    </row>
    <row r="368" spans="1:11" x14ac:dyDescent="0.25">
      <c r="A368" s="287"/>
      <c r="B368" s="287"/>
      <c r="C368" s="287"/>
      <c r="D368" s="287"/>
      <c r="E368" s="287"/>
      <c r="F368" s="287"/>
      <c r="G368" s="402"/>
      <c r="H368" s="305"/>
      <c r="I368" s="305"/>
      <c r="J368" s="305"/>
      <c r="K368" s="287"/>
    </row>
    <row r="369" spans="1:11" x14ac:dyDescent="0.25">
      <c r="A369" s="287"/>
      <c r="B369" s="287"/>
      <c r="C369" s="287"/>
      <c r="D369" s="287"/>
      <c r="E369" s="287"/>
      <c r="F369" s="287"/>
      <c r="G369" s="402"/>
      <c r="H369" s="305"/>
      <c r="I369" s="305"/>
      <c r="J369" s="305"/>
      <c r="K369" s="287"/>
    </row>
    <row r="370" spans="1:11" x14ac:dyDescent="0.25">
      <c r="A370" s="287"/>
      <c r="B370" s="287"/>
      <c r="C370" s="287"/>
      <c r="D370" s="287"/>
      <c r="E370" s="287"/>
      <c r="F370" s="287"/>
      <c r="G370" s="402"/>
      <c r="H370" s="305"/>
      <c r="I370" s="305"/>
      <c r="J370" s="305"/>
      <c r="K370" s="287"/>
    </row>
    <row r="371" spans="1:11" x14ac:dyDescent="0.25">
      <c r="A371" s="287"/>
      <c r="B371" s="287"/>
      <c r="C371" s="287"/>
      <c r="D371" s="287"/>
      <c r="E371" s="287"/>
      <c r="F371" s="287"/>
      <c r="G371" s="402"/>
      <c r="H371" s="305"/>
      <c r="I371" s="305"/>
      <c r="J371" s="305"/>
      <c r="K371" s="287"/>
    </row>
    <row r="372" spans="1:11" x14ac:dyDescent="0.25">
      <c r="A372" s="287"/>
      <c r="B372" s="287"/>
      <c r="C372" s="287"/>
      <c r="D372" s="287"/>
      <c r="E372" s="287"/>
      <c r="F372" s="287"/>
      <c r="G372" s="402"/>
      <c r="H372" s="305"/>
      <c r="I372" s="305"/>
      <c r="J372" s="305"/>
      <c r="K372" s="287"/>
    </row>
    <row r="373" spans="1:11" x14ac:dyDescent="0.25">
      <c r="A373" s="287"/>
      <c r="B373" s="287"/>
      <c r="C373" s="287"/>
      <c r="D373" s="287"/>
      <c r="E373" s="287"/>
      <c r="F373" s="287"/>
      <c r="G373" s="402"/>
      <c r="H373" s="305"/>
      <c r="I373" s="305"/>
      <c r="J373" s="305"/>
      <c r="K373" s="287"/>
    </row>
    <row r="374" spans="1:11" x14ac:dyDescent="0.25">
      <c r="A374" s="287"/>
      <c r="B374" s="287"/>
      <c r="C374" s="287"/>
      <c r="D374" s="287"/>
      <c r="E374" s="287"/>
      <c r="F374" s="287"/>
      <c r="G374" s="402"/>
      <c r="H374" s="305"/>
      <c r="I374" s="305"/>
      <c r="J374" s="305"/>
      <c r="K374" s="287"/>
    </row>
    <row r="375" spans="1:11" x14ac:dyDescent="0.25">
      <c r="A375" s="287"/>
      <c r="B375" s="287"/>
      <c r="C375" s="287"/>
      <c r="D375" s="287"/>
      <c r="E375" s="287"/>
      <c r="F375" s="287"/>
      <c r="G375" s="402"/>
      <c r="H375" s="305"/>
      <c r="I375" s="305"/>
      <c r="J375" s="305"/>
      <c r="K375" s="287"/>
    </row>
    <row r="376" spans="1:11" x14ac:dyDescent="0.25">
      <c r="A376" s="287"/>
      <c r="B376" s="287"/>
      <c r="C376" s="287"/>
      <c r="D376" s="287"/>
      <c r="E376" s="287"/>
      <c r="F376" s="287"/>
      <c r="G376" s="402"/>
      <c r="H376" s="305"/>
      <c r="I376" s="305"/>
      <c r="J376" s="305"/>
      <c r="K376" s="287"/>
    </row>
    <row r="377" spans="1:11" x14ac:dyDescent="0.25">
      <c r="A377" s="287"/>
      <c r="B377" s="287"/>
      <c r="C377" s="287"/>
      <c r="D377" s="287"/>
      <c r="E377" s="287"/>
      <c r="F377" s="287"/>
      <c r="G377" s="402"/>
      <c r="H377" s="305"/>
      <c r="I377" s="305"/>
      <c r="J377" s="305"/>
      <c r="K377" s="287"/>
    </row>
    <row r="378" spans="1:11" x14ac:dyDescent="0.25">
      <c r="A378" s="287"/>
      <c r="B378" s="287"/>
      <c r="C378" s="287"/>
      <c r="D378" s="287"/>
      <c r="E378" s="287"/>
      <c r="F378" s="287"/>
      <c r="G378" s="402"/>
      <c r="H378" s="305"/>
      <c r="I378" s="305"/>
      <c r="J378" s="305"/>
      <c r="K378" s="287"/>
    </row>
    <row r="379" spans="1:11" x14ac:dyDescent="0.25">
      <c r="A379" s="287"/>
      <c r="B379" s="287"/>
      <c r="C379" s="287"/>
      <c r="D379" s="287"/>
      <c r="E379" s="287"/>
      <c r="F379" s="287"/>
      <c r="G379" s="402"/>
      <c r="H379" s="305"/>
      <c r="I379" s="305"/>
      <c r="J379" s="305"/>
      <c r="K379" s="287"/>
    </row>
    <row r="380" spans="1:11" x14ac:dyDescent="0.25">
      <c r="A380" s="287"/>
      <c r="B380" s="287"/>
      <c r="C380" s="287"/>
      <c r="D380" s="287"/>
      <c r="E380" s="287"/>
      <c r="F380" s="287"/>
      <c r="G380" s="402"/>
      <c r="H380" s="305"/>
      <c r="I380" s="305"/>
      <c r="J380" s="305"/>
      <c r="K380" s="287"/>
    </row>
    <row r="381" spans="1:11" x14ac:dyDescent="0.25">
      <c r="A381" s="287"/>
      <c r="B381" s="287"/>
      <c r="C381" s="287"/>
      <c r="D381" s="287"/>
      <c r="E381" s="287"/>
      <c r="F381" s="287"/>
      <c r="G381" s="402"/>
      <c r="H381" s="305"/>
      <c r="I381" s="305"/>
      <c r="J381" s="305"/>
      <c r="K381" s="287"/>
    </row>
    <row r="382" spans="1:11" x14ac:dyDescent="0.25">
      <c r="A382" s="287"/>
      <c r="B382" s="287"/>
      <c r="C382" s="287"/>
      <c r="D382" s="287"/>
      <c r="E382" s="287"/>
      <c r="F382" s="287"/>
      <c r="G382" s="402"/>
      <c r="H382" s="305"/>
      <c r="I382" s="305"/>
      <c r="J382" s="305"/>
      <c r="K382" s="287"/>
    </row>
    <row r="383" spans="1:11" x14ac:dyDescent="0.25">
      <c r="A383" s="287"/>
      <c r="B383" s="287"/>
      <c r="C383" s="287"/>
      <c r="D383" s="287"/>
      <c r="E383" s="287"/>
      <c r="F383" s="287"/>
      <c r="G383" s="402"/>
      <c r="H383" s="305"/>
      <c r="I383" s="305"/>
      <c r="J383" s="305"/>
      <c r="K383" s="287"/>
    </row>
    <row r="384" spans="1:11" x14ac:dyDescent="0.25">
      <c r="A384" s="287"/>
      <c r="B384" s="287"/>
      <c r="C384" s="287"/>
      <c r="D384" s="287"/>
      <c r="E384" s="287"/>
      <c r="F384" s="287"/>
      <c r="G384" s="402"/>
      <c r="H384" s="305"/>
      <c r="I384" s="305"/>
      <c r="J384" s="305"/>
      <c r="K384" s="287"/>
    </row>
    <row r="385" spans="1:11" x14ac:dyDescent="0.25">
      <c r="A385" s="287"/>
      <c r="B385" s="287"/>
      <c r="C385" s="287"/>
      <c r="D385" s="287"/>
      <c r="E385" s="287"/>
      <c r="F385" s="287"/>
      <c r="G385" s="402"/>
      <c r="H385" s="305"/>
      <c r="I385" s="305"/>
      <c r="J385" s="305"/>
      <c r="K385" s="287"/>
    </row>
    <row r="386" spans="1:11" x14ac:dyDescent="0.25">
      <c r="A386" s="287"/>
      <c r="B386" s="287"/>
      <c r="C386" s="287"/>
      <c r="D386" s="287"/>
      <c r="E386" s="287"/>
      <c r="F386" s="287"/>
      <c r="G386" s="402"/>
      <c r="H386" s="305"/>
      <c r="I386" s="305"/>
      <c r="J386" s="305"/>
      <c r="K386" s="287"/>
    </row>
    <row r="387" spans="1:11" x14ac:dyDescent="0.25">
      <c r="A387" s="287"/>
      <c r="B387" s="287"/>
      <c r="C387" s="287"/>
      <c r="D387" s="287"/>
      <c r="E387" s="287"/>
      <c r="F387" s="287"/>
      <c r="G387" s="402"/>
      <c r="H387" s="305"/>
      <c r="I387" s="305"/>
      <c r="J387" s="305"/>
      <c r="K387" s="287"/>
    </row>
    <row r="388" spans="1:11" x14ac:dyDescent="0.25">
      <c r="A388" s="287"/>
      <c r="B388" s="287"/>
      <c r="C388" s="287"/>
      <c r="D388" s="287"/>
      <c r="E388" s="287"/>
      <c r="F388" s="287"/>
      <c r="G388" s="402"/>
      <c r="H388" s="305"/>
      <c r="I388" s="305"/>
      <c r="J388" s="305"/>
      <c r="K388" s="287"/>
    </row>
    <row r="389" spans="1:11" x14ac:dyDescent="0.25">
      <c r="A389" s="287"/>
      <c r="B389" s="287"/>
      <c r="C389" s="287"/>
      <c r="D389" s="287"/>
      <c r="E389" s="287"/>
      <c r="F389" s="287"/>
      <c r="G389" s="402"/>
      <c r="H389" s="305"/>
      <c r="I389" s="305"/>
      <c r="J389" s="305"/>
      <c r="K389" s="287"/>
    </row>
    <row r="390" spans="1:11" x14ac:dyDescent="0.25">
      <c r="A390" s="287"/>
      <c r="B390" s="287"/>
      <c r="C390" s="287"/>
      <c r="D390" s="287"/>
      <c r="E390" s="287"/>
      <c r="F390" s="287"/>
      <c r="G390" s="402"/>
      <c r="H390" s="305"/>
      <c r="I390" s="305"/>
      <c r="J390" s="305"/>
      <c r="K390" s="287"/>
    </row>
    <row r="391" spans="1:11" x14ac:dyDescent="0.25">
      <c r="A391" s="287"/>
      <c r="B391" s="287"/>
      <c r="C391" s="287"/>
      <c r="D391" s="287"/>
      <c r="E391" s="287"/>
      <c r="F391" s="287"/>
      <c r="G391" s="402"/>
      <c r="H391" s="305"/>
      <c r="I391" s="305"/>
      <c r="J391" s="305"/>
      <c r="K391" s="287"/>
    </row>
    <row r="392" spans="1:11" x14ac:dyDescent="0.25">
      <c r="A392" s="287"/>
      <c r="B392" s="287"/>
      <c r="C392" s="287"/>
      <c r="D392" s="287"/>
      <c r="E392" s="287"/>
      <c r="F392" s="287"/>
      <c r="G392" s="402"/>
      <c r="H392" s="305"/>
      <c r="I392" s="305"/>
      <c r="J392" s="305"/>
      <c r="K392" s="287"/>
    </row>
    <row r="393" spans="1:11" x14ac:dyDescent="0.25">
      <c r="A393" s="287"/>
      <c r="B393" s="287"/>
      <c r="C393" s="287"/>
      <c r="D393" s="287"/>
      <c r="E393" s="287"/>
      <c r="F393" s="287"/>
      <c r="G393" s="402"/>
      <c r="H393" s="305"/>
      <c r="I393" s="305"/>
      <c r="J393" s="305"/>
      <c r="K393" s="287"/>
    </row>
    <row r="394" spans="1:11" x14ac:dyDescent="0.25">
      <c r="A394" s="287"/>
      <c r="B394" s="287"/>
      <c r="C394" s="287"/>
      <c r="D394" s="287"/>
      <c r="E394" s="287"/>
      <c r="F394" s="287"/>
      <c r="G394" s="402"/>
      <c r="H394" s="305"/>
      <c r="I394" s="305"/>
      <c r="J394" s="305"/>
      <c r="K394" s="287"/>
    </row>
    <row r="395" spans="1:11" x14ac:dyDescent="0.25">
      <c r="A395" s="287"/>
      <c r="B395" s="287"/>
      <c r="C395" s="287"/>
      <c r="D395" s="287"/>
      <c r="E395" s="287"/>
      <c r="F395" s="287"/>
      <c r="G395" s="402"/>
      <c r="H395" s="305"/>
      <c r="I395" s="305"/>
      <c r="J395" s="305"/>
      <c r="K395" s="287"/>
    </row>
    <row r="396" spans="1:11" x14ac:dyDescent="0.25">
      <c r="A396" s="287"/>
      <c r="B396" s="287"/>
      <c r="C396" s="287"/>
      <c r="D396" s="287"/>
      <c r="E396" s="287"/>
      <c r="F396" s="287"/>
      <c r="G396" s="402"/>
      <c r="H396" s="305"/>
      <c r="I396" s="305"/>
      <c r="J396" s="305"/>
      <c r="K396" s="287"/>
    </row>
    <row r="397" spans="1:11" x14ac:dyDescent="0.25">
      <c r="A397" s="287"/>
      <c r="B397" s="287"/>
      <c r="C397" s="287"/>
      <c r="D397" s="287"/>
      <c r="E397" s="287"/>
      <c r="F397" s="287"/>
      <c r="G397" s="402"/>
      <c r="H397" s="305"/>
      <c r="I397" s="305"/>
      <c r="J397" s="305"/>
      <c r="K397" s="287"/>
    </row>
    <row r="398" spans="1:11" x14ac:dyDescent="0.25">
      <c r="A398" s="287"/>
      <c r="B398" s="287"/>
      <c r="C398" s="287"/>
      <c r="D398" s="287"/>
      <c r="E398" s="287"/>
      <c r="F398" s="287"/>
      <c r="G398" s="402"/>
      <c r="H398" s="305"/>
      <c r="I398" s="305"/>
      <c r="J398" s="305"/>
      <c r="K398" s="287"/>
    </row>
    <row r="399" spans="1:11" x14ac:dyDescent="0.25">
      <c r="A399" s="287"/>
      <c r="B399" s="287"/>
      <c r="C399" s="287"/>
      <c r="D399" s="287"/>
      <c r="E399" s="287"/>
      <c r="F399" s="287"/>
      <c r="G399" s="402"/>
      <c r="H399" s="305"/>
      <c r="I399" s="305"/>
      <c r="J399" s="305"/>
      <c r="K399" s="287"/>
    </row>
    <row r="400" spans="1:11" x14ac:dyDescent="0.25">
      <c r="A400" s="287"/>
      <c r="B400" s="287"/>
      <c r="C400" s="287"/>
      <c r="D400" s="287"/>
      <c r="E400" s="287"/>
      <c r="F400" s="287"/>
      <c r="G400" s="402"/>
      <c r="H400" s="305"/>
      <c r="I400" s="305"/>
      <c r="J400" s="305"/>
      <c r="K400" s="287"/>
    </row>
    <row r="401" spans="1:11" x14ac:dyDescent="0.25">
      <c r="A401" s="287"/>
      <c r="B401" s="287"/>
      <c r="C401" s="287"/>
      <c r="D401" s="287"/>
      <c r="E401" s="287"/>
      <c r="F401" s="287"/>
      <c r="G401" s="402"/>
      <c r="H401" s="305"/>
      <c r="I401" s="305"/>
      <c r="J401" s="305"/>
      <c r="K401" s="287"/>
    </row>
    <row r="402" spans="1:11" x14ac:dyDescent="0.25">
      <c r="A402" s="287"/>
      <c r="B402" s="287"/>
      <c r="C402" s="287"/>
      <c r="D402" s="287"/>
      <c r="E402" s="287"/>
      <c r="F402" s="287"/>
      <c r="G402" s="402"/>
      <c r="H402" s="305"/>
      <c r="I402" s="305"/>
      <c r="J402" s="305"/>
      <c r="K402" s="287"/>
    </row>
    <row r="403" spans="1:11" x14ac:dyDescent="0.25">
      <c r="A403" s="287"/>
      <c r="B403" s="287"/>
      <c r="C403" s="287"/>
      <c r="D403" s="287"/>
      <c r="E403" s="287"/>
      <c r="F403" s="287"/>
      <c r="G403" s="402"/>
      <c r="H403" s="305"/>
      <c r="I403" s="305"/>
      <c r="J403" s="305"/>
      <c r="K403" s="287"/>
    </row>
    <row r="404" spans="1:11" x14ac:dyDescent="0.25">
      <c r="A404" s="287"/>
      <c r="B404" s="287"/>
      <c r="C404" s="287"/>
      <c r="D404" s="287"/>
      <c r="E404" s="287"/>
      <c r="F404" s="287"/>
      <c r="G404" s="402"/>
      <c r="H404" s="305"/>
      <c r="I404" s="305"/>
      <c r="J404" s="305"/>
      <c r="K404" s="287"/>
    </row>
    <row r="405" spans="1:11" x14ac:dyDescent="0.25">
      <c r="A405" s="287"/>
      <c r="B405" s="287"/>
      <c r="C405" s="287"/>
      <c r="D405" s="287"/>
      <c r="E405" s="287"/>
      <c r="F405" s="287"/>
      <c r="G405" s="402"/>
      <c r="H405" s="305"/>
      <c r="I405" s="305"/>
      <c r="J405" s="305"/>
      <c r="K405" s="287"/>
    </row>
    <row r="406" spans="1:11" x14ac:dyDescent="0.25">
      <c r="A406" s="287"/>
      <c r="B406" s="287"/>
      <c r="C406" s="287"/>
      <c r="D406" s="287"/>
      <c r="E406" s="287"/>
      <c r="F406" s="287"/>
      <c r="G406" s="402"/>
      <c r="H406" s="305"/>
      <c r="I406" s="305"/>
      <c r="J406" s="305"/>
      <c r="K406" s="287"/>
    </row>
    <row r="407" spans="1:11" x14ac:dyDescent="0.25">
      <c r="A407" s="287"/>
      <c r="B407" s="287"/>
      <c r="C407" s="287"/>
      <c r="D407" s="287"/>
      <c r="E407" s="287"/>
      <c r="F407" s="287"/>
      <c r="G407" s="402"/>
      <c r="H407" s="305"/>
      <c r="I407" s="305"/>
      <c r="J407" s="305"/>
      <c r="K407" s="287"/>
    </row>
    <row r="408" spans="1:11" x14ac:dyDescent="0.25">
      <c r="A408" s="287"/>
      <c r="B408" s="287"/>
      <c r="C408" s="287"/>
      <c r="D408" s="287"/>
      <c r="E408" s="287"/>
      <c r="F408" s="287"/>
      <c r="G408" s="402"/>
      <c r="H408" s="305"/>
      <c r="I408" s="305"/>
      <c r="J408" s="305"/>
      <c r="K408" s="287"/>
    </row>
    <row r="409" spans="1:11" x14ac:dyDescent="0.25">
      <c r="A409" s="287"/>
      <c r="B409" s="287"/>
      <c r="C409" s="287"/>
      <c r="D409" s="287"/>
      <c r="E409" s="287"/>
      <c r="F409" s="287"/>
      <c r="G409" s="402"/>
      <c r="H409" s="305"/>
      <c r="I409" s="305"/>
      <c r="J409" s="305"/>
      <c r="K409" s="287"/>
    </row>
    <row r="410" spans="1:11" x14ac:dyDescent="0.25">
      <c r="A410" s="287"/>
      <c r="B410" s="287"/>
      <c r="C410" s="287"/>
      <c r="D410" s="287"/>
      <c r="E410" s="287"/>
      <c r="F410" s="287"/>
      <c r="G410" s="402"/>
      <c r="H410" s="305"/>
      <c r="I410" s="305"/>
      <c r="J410" s="305"/>
      <c r="K410" s="287"/>
    </row>
    <row r="411" spans="1:11" x14ac:dyDescent="0.25">
      <c r="A411" s="287"/>
      <c r="B411" s="287"/>
      <c r="C411" s="287"/>
      <c r="D411" s="287"/>
      <c r="E411" s="287"/>
      <c r="F411" s="287"/>
      <c r="G411" s="402"/>
      <c r="H411" s="305"/>
      <c r="I411" s="305"/>
      <c r="J411" s="305"/>
      <c r="K411" s="287"/>
    </row>
    <row r="412" spans="1:11" x14ac:dyDescent="0.25">
      <c r="A412" s="287"/>
      <c r="B412" s="287"/>
      <c r="C412" s="287"/>
      <c r="D412" s="287"/>
      <c r="E412" s="287"/>
      <c r="F412" s="287"/>
      <c r="G412" s="402"/>
      <c r="H412" s="305"/>
      <c r="I412" s="305"/>
      <c r="J412" s="305"/>
      <c r="K412" s="287"/>
    </row>
    <row r="413" spans="1:11" x14ac:dyDescent="0.25">
      <c r="A413" s="287"/>
      <c r="B413" s="287"/>
      <c r="C413" s="287"/>
      <c r="D413" s="287"/>
      <c r="E413" s="287"/>
      <c r="F413" s="287"/>
      <c r="G413" s="402"/>
      <c r="H413" s="305"/>
      <c r="I413" s="305"/>
      <c r="J413" s="305"/>
      <c r="K413" s="287"/>
    </row>
    <row r="414" spans="1:11" x14ac:dyDescent="0.25">
      <c r="A414" s="287"/>
      <c r="B414" s="287"/>
      <c r="C414" s="287"/>
      <c r="D414" s="287"/>
      <c r="E414" s="287"/>
      <c r="F414" s="287"/>
      <c r="G414" s="402"/>
      <c r="H414" s="305"/>
      <c r="I414" s="305"/>
      <c r="J414" s="305"/>
      <c r="K414" s="287"/>
    </row>
    <row r="415" spans="1:11" x14ac:dyDescent="0.25">
      <c r="A415" s="287"/>
      <c r="B415" s="287"/>
      <c r="C415" s="287"/>
      <c r="D415" s="287"/>
      <c r="E415" s="287"/>
      <c r="F415" s="287"/>
      <c r="G415" s="402"/>
      <c r="H415" s="305"/>
      <c r="I415" s="305"/>
      <c r="J415" s="305"/>
      <c r="K415" s="287"/>
    </row>
    <row r="416" spans="1:11" x14ac:dyDescent="0.25">
      <c r="A416" s="287"/>
      <c r="B416" s="287"/>
      <c r="C416" s="287"/>
      <c r="D416" s="287"/>
      <c r="E416" s="287"/>
      <c r="F416" s="287"/>
      <c r="G416" s="402"/>
      <c r="H416" s="305"/>
      <c r="I416" s="305"/>
      <c r="J416" s="305"/>
      <c r="K416" s="287"/>
    </row>
    <row r="417" spans="1:11" x14ac:dyDescent="0.25">
      <c r="A417" s="287"/>
      <c r="B417" s="287"/>
      <c r="C417" s="287"/>
      <c r="D417" s="287"/>
      <c r="E417" s="287"/>
      <c r="F417" s="287"/>
      <c r="G417" s="402"/>
      <c r="H417" s="305"/>
      <c r="I417" s="305"/>
      <c r="J417" s="305"/>
      <c r="K417" s="287"/>
    </row>
    <row r="418" spans="1:11" x14ac:dyDescent="0.25">
      <c r="A418" s="287"/>
      <c r="B418" s="287"/>
      <c r="C418" s="287"/>
      <c r="D418" s="287"/>
      <c r="E418" s="287"/>
      <c r="F418" s="287"/>
      <c r="G418" s="402"/>
      <c r="H418" s="305"/>
      <c r="I418" s="305"/>
      <c r="J418" s="305"/>
      <c r="K418" s="287"/>
    </row>
    <row r="419" spans="1:11" x14ac:dyDescent="0.25">
      <c r="A419" s="287"/>
      <c r="B419" s="287"/>
      <c r="C419" s="287"/>
      <c r="D419" s="287"/>
      <c r="E419" s="287"/>
      <c r="F419" s="287"/>
      <c r="G419" s="402"/>
      <c r="H419" s="305"/>
      <c r="I419" s="305"/>
      <c r="J419" s="305"/>
      <c r="K419" s="287"/>
    </row>
    <row r="420" spans="1:11" x14ac:dyDescent="0.25">
      <c r="A420" s="287"/>
      <c r="B420" s="287"/>
      <c r="C420" s="287"/>
      <c r="D420" s="287"/>
      <c r="E420" s="287"/>
      <c r="F420" s="287"/>
      <c r="G420" s="402"/>
      <c r="H420" s="305"/>
      <c r="I420" s="305"/>
      <c r="J420" s="305"/>
      <c r="K420" s="287"/>
    </row>
    <row r="421" spans="1:11" x14ac:dyDescent="0.25">
      <c r="A421" s="287"/>
      <c r="B421" s="287"/>
      <c r="C421" s="287"/>
      <c r="D421" s="287"/>
      <c r="E421" s="287"/>
      <c r="F421" s="287"/>
      <c r="G421" s="402"/>
      <c r="H421" s="305"/>
      <c r="I421" s="305"/>
      <c r="J421" s="305"/>
      <c r="K421"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scale="73"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pageSetUpPr fitToPage="1"/>
  </sheetPr>
  <dimension ref="A1:S104"/>
  <sheetViews>
    <sheetView workbookViewId="0"/>
  </sheetViews>
  <sheetFormatPr defaultColWidth="9.08984375" defaultRowHeight="14.5" x14ac:dyDescent="0.35"/>
  <cols>
    <col min="2" max="2" width="15.90625" customWidth="1"/>
    <col min="3" max="3" width="43.90625" customWidth="1"/>
    <col min="4" max="4" width="12.36328125" customWidth="1"/>
    <col min="5" max="10" width="20.36328125" customWidth="1"/>
    <col min="11" max="11" width="3" customWidth="1"/>
    <col min="12" max="12" width="9.08984375" customWidth="1"/>
    <col min="13" max="13" width="33.36328125" style="48" customWidth="1"/>
    <col min="14" max="14" width="30.36328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4.9" customHeight="1" x14ac:dyDescent="0.5">
      <c r="A3" s="5" t="s">
        <v>669</v>
      </c>
      <c r="M3" s="130"/>
      <c r="N3" s="130"/>
      <c r="O3" s="130"/>
      <c r="P3" s="40"/>
      <c r="Q3" s="40"/>
      <c r="R3" s="40"/>
      <c r="S3" s="40"/>
    </row>
    <row r="4" spans="1:19" ht="24.9"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0" t="str">
        <f>Results!$C$6</f>
        <v>Diversus Health</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86" t="s">
        <v>1</v>
      </c>
      <c r="C10" s="486"/>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82" t="s">
        <v>280</v>
      </c>
      <c r="B12" s="483"/>
      <c r="C12" s="483"/>
      <c r="D12" s="483"/>
      <c r="E12" s="483"/>
      <c r="F12" s="483"/>
      <c r="G12" s="483"/>
      <c r="H12" s="483"/>
      <c r="I12" s="483"/>
      <c r="J12" s="484"/>
      <c r="M12" s="128"/>
      <c r="N12" s="128"/>
      <c r="O12" s="128"/>
      <c r="P12" s="128"/>
      <c r="Q12" s="128"/>
      <c r="R12" s="128"/>
      <c r="S12" s="128"/>
    </row>
    <row r="13" spans="1:19" s="22" customFormat="1" x14ac:dyDescent="0.35">
      <c r="A13" s="155">
        <v>1</v>
      </c>
      <c r="B13" s="473" t="s">
        <v>458</v>
      </c>
      <c r="C13" s="475"/>
      <c r="D13" s="156">
        <f>'Schedule 1 Adjustments'!F13</f>
        <v>6.2778800000000015</v>
      </c>
      <c r="E13" s="157">
        <f>'Schedule 1 Adjustments'!I13</f>
        <v>353545.797741196</v>
      </c>
      <c r="F13" s="157">
        <f>'Schedule 1 Adjustments'!L13</f>
        <v>1353383.9754518918</v>
      </c>
      <c r="G13" s="157">
        <f>'Schedule 1 Adjustments'!O13</f>
        <v>211499.75109665203</v>
      </c>
      <c r="H13" s="157">
        <f>'Schedule 1 Adjustments'!R13</f>
        <v>54812.719308698288</v>
      </c>
      <c r="I13" s="157">
        <f>'Schedule 1 Adjustments'!U13</f>
        <v>0</v>
      </c>
      <c r="J13" s="158">
        <f t="shared" ref="J13:J16" si="0">SUM(E13:I13)</f>
        <v>1973242.2435984383</v>
      </c>
      <c r="M13" s="140"/>
    </row>
    <row r="14" spans="1:19" s="22" customFormat="1" x14ac:dyDescent="0.35">
      <c r="A14" s="155">
        <v>2</v>
      </c>
      <c r="B14" s="473" t="s">
        <v>291</v>
      </c>
      <c r="C14" s="475"/>
      <c r="D14" s="156">
        <f>'Schedule 1 Adjustments'!F14</f>
        <v>93.466023333333609</v>
      </c>
      <c r="E14" s="157">
        <f>'Schedule 1 Adjustments'!I14</f>
        <v>1046294.6364418672</v>
      </c>
      <c r="F14" s="157">
        <f>'Schedule 1 Adjustments'!L14</f>
        <v>6983269.5010857536</v>
      </c>
      <c r="G14" s="157">
        <f>'Schedule 1 Adjustments'!O14</f>
        <v>1064605.3343874</v>
      </c>
      <c r="H14" s="157">
        <f>'Schedule 1 Adjustments'!R14</f>
        <v>464856.64402236691</v>
      </c>
      <c r="I14" s="157">
        <f>'Schedule 1 Adjustments'!U14</f>
        <v>0</v>
      </c>
      <c r="J14" s="158">
        <f t="shared" si="0"/>
        <v>9559026.1159373857</v>
      </c>
      <c r="M14" s="140"/>
    </row>
    <row r="15" spans="1:19" s="22" customFormat="1" x14ac:dyDescent="0.35">
      <c r="A15" s="155">
        <v>3</v>
      </c>
      <c r="B15" s="473" t="s">
        <v>301</v>
      </c>
      <c r="C15" s="475"/>
      <c r="D15" s="156">
        <f>'Schedule 1 Adjustments'!F15</f>
        <v>112.10927</v>
      </c>
      <c r="E15" s="157">
        <f>'Schedule 1 Adjustments'!I15</f>
        <v>155039.50457509593</v>
      </c>
      <c r="F15" s="157">
        <f>'Schedule 1 Adjustments'!L15</f>
        <v>4150260.4457572801</v>
      </c>
      <c r="G15" s="157">
        <f>'Schedule 1 Adjustments'!O15</f>
        <v>535190.81224685675</v>
      </c>
      <c r="H15" s="157">
        <f>'Schedule 1 Adjustments'!R15</f>
        <v>508921.9369625831</v>
      </c>
      <c r="I15" s="157">
        <f>'Schedule 1 Adjustments'!U15</f>
        <v>0</v>
      </c>
      <c r="J15" s="158">
        <f t="shared" si="0"/>
        <v>5349412.6995418156</v>
      </c>
      <c r="M15" s="140"/>
    </row>
    <row r="16" spans="1:19" s="22" customFormat="1" x14ac:dyDescent="0.35">
      <c r="A16" s="155">
        <v>4</v>
      </c>
      <c r="B16" s="479" t="s">
        <v>290</v>
      </c>
      <c r="C16" s="481"/>
      <c r="D16" s="159">
        <f t="shared" ref="D16:I16" si="1">SUM(D13:D15)</f>
        <v>211.85317333333359</v>
      </c>
      <c r="E16" s="160">
        <f t="shared" si="1"/>
        <v>1554879.9387581591</v>
      </c>
      <c r="F16" s="160">
        <f t="shared" si="1"/>
        <v>12486913.922294926</v>
      </c>
      <c r="G16" s="160">
        <f t="shared" si="1"/>
        <v>1811295.8977309088</v>
      </c>
      <c r="H16" s="160">
        <f t="shared" si="1"/>
        <v>1028591.3002936483</v>
      </c>
      <c r="I16" s="160">
        <f t="shared" si="1"/>
        <v>0</v>
      </c>
      <c r="J16" s="160">
        <f t="shared" si="0"/>
        <v>16881681.059077643</v>
      </c>
      <c r="M16" s="140"/>
    </row>
    <row r="17" spans="1:13" s="22" customFormat="1" x14ac:dyDescent="0.35">
      <c r="A17" s="161"/>
      <c r="B17" s="162"/>
      <c r="C17" s="162"/>
      <c r="D17" s="163"/>
      <c r="E17" s="164"/>
      <c r="F17" s="164"/>
      <c r="G17" s="164"/>
      <c r="H17" s="164"/>
      <c r="I17" s="164"/>
      <c r="J17" s="164"/>
      <c r="M17" s="140"/>
    </row>
    <row r="18" spans="1:13" s="22" customFormat="1" x14ac:dyDescent="0.35">
      <c r="A18" s="482" t="s">
        <v>281</v>
      </c>
      <c r="B18" s="483"/>
      <c r="C18" s="483"/>
      <c r="D18" s="483"/>
      <c r="E18" s="483"/>
      <c r="F18" s="483"/>
      <c r="G18" s="483"/>
      <c r="H18" s="483"/>
      <c r="I18" s="483"/>
      <c r="J18" s="484"/>
      <c r="M18" s="140"/>
    </row>
    <row r="19" spans="1:13" s="22" customFormat="1" x14ac:dyDescent="0.35">
      <c r="A19" s="155">
        <v>5</v>
      </c>
      <c r="B19" s="473" t="s">
        <v>221</v>
      </c>
      <c r="C19" s="475"/>
      <c r="D19" s="156">
        <f>'Schedule 1 Adjustments'!F19</f>
        <v>3.2287319999999999</v>
      </c>
      <c r="E19" s="157">
        <f>'Schedule 1 Adjustments'!I19</f>
        <v>928428.59896015003</v>
      </c>
      <c r="F19" s="157">
        <f>'Schedule 1 Adjustments'!L19</f>
        <v>0</v>
      </c>
      <c r="G19" s="157">
        <f>'Schedule 1 Adjustments'!O19</f>
        <v>0</v>
      </c>
      <c r="H19" s="157">
        <f>'Schedule 1 Adjustments'!R19</f>
        <v>0</v>
      </c>
      <c r="I19" s="157">
        <f>'Schedule 1 Adjustments'!U19</f>
        <v>0</v>
      </c>
      <c r="J19" s="158">
        <f>SUM(E19:I19)</f>
        <v>928428.59896015003</v>
      </c>
      <c r="M19" s="140"/>
    </row>
    <row r="20" spans="1:13" s="22" customFormat="1" x14ac:dyDescent="0.35">
      <c r="A20" s="155">
        <v>6</v>
      </c>
      <c r="B20" s="473" t="s">
        <v>293</v>
      </c>
      <c r="C20" s="475"/>
      <c r="D20" s="156">
        <f>'Schedule 1 Adjustments'!F20</f>
        <v>114.09652616666671</v>
      </c>
      <c r="E20" s="157">
        <f>'Schedule 1 Adjustments'!I20</f>
        <v>4848824.7422816921</v>
      </c>
      <c r="F20" s="157">
        <f>'Schedule 1 Adjustments'!L20</f>
        <v>2295976.13452469</v>
      </c>
      <c r="G20" s="157">
        <f>'Schedule 1 Adjustments'!O20</f>
        <v>396385.03233500227</v>
      </c>
      <c r="H20" s="157">
        <f>'Schedule 1 Adjustments'!R20</f>
        <v>231497.38282082393</v>
      </c>
      <c r="I20" s="157">
        <f>'Schedule 1 Adjustments'!U20</f>
        <v>0</v>
      </c>
      <c r="J20" s="158">
        <f>SUM(E20:I20)</f>
        <v>7772683.2919622082</v>
      </c>
      <c r="M20" s="140"/>
    </row>
    <row r="21" spans="1:13" s="22" customFormat="1" x14ac:dyDescent="0.35">
      <c r="A21" s="155">
        <v>7</v>
      </c>
      <c r="B21" s="479" t="s">
        <v>220</v>
      </c>
      <c r="C21" s="481"/>
      <c r="D21" s="159">
        <f t="shared" ref="D21:I21" si="2">SUM(D19:D20)</f>
        <v>117.3252581666667</v>
      </c>
      <c r="E21" s="160">
        <f t="shared" si="2"/>
        <v>5777253.3412418421</v>
      </c>
      <c r="F21" s="160">
        <f t="shared" si="2"/>
        <v>2295976.13452469</v>
      </c>
      <c r="G21" s="160">
        <f t="shared" si="2"/>
        <v>396385.03233500227</v>
      </c>
      <c r="H21" s="160">
        <f t="shared" si="2"/>
        <v>231497.38282082393</v>
      </c>
      <c r="I21" s="160">
        <f t="shared" si="2"/>
        <v>0</v>
      </c>
      <c r="J21" s="160">
        <f>SUM(E21:I21)</f>
        <v>8701111.8909223583</v>
      </c>
      <c r="M21" s="140"/>
    </row>
    <row r="22" spans="1:13" s="22" customFormat="1" x14ac:dyDescent="0.35">
      <c r="A22" s="161"/>
      <c r="B22" s="162"/>
      <c r="C22" s="162"/>
      <c r="D22" s="163"/>
      <c r="E22" s="164"/>
      <c r="F22" s="164"/>
      <c r="G22" s="164"/>
      <c r="H22" s="164"/>
      <c r="I22" s="164"/>
      <c r="J22" s="164"/>
      <c r="M22" s="140"/>
    </row>
    <row r="23" spans="1:13" s="22" customFormat="1" x14ac:dyDescent="0.35">
      <c r="A23" s="482" t="s">
        <v>275</v>
      </c>
      <c r="B23" s="483"/>
      <c r="C23" s="483"/>
      <c r="D23" s="483"/>
      <c r="E23" s="483"/>
      <c r="F23" s="483"/>
      <c r="G23" s="483"/>
      <c r="H23" s="483"/>
      <c r="I23" s="483"/>
      <c r="J23" s="484"/>
      <c r="M23" s="140"/>
    </row>
    <row r="24" spans="1:13" s="22" customFormat="1" x14ac:dyDescent="0.35">
      <c r="A24" s="155">
        <v>8</v>
      </c>
      <c r="B24" s="473" t="s">
        <v>276</v>
      </c>
      <c r="C24" s="474"/>
      <c r="D24" s="475"/>
      <c r="E24" s="165">
        <f>'Schedule 1 Adjustments'!I24</f>
        <v>-111445.75961817428</v>
      </c>
      <c r="F24" s="165">
        <f>'Schedule 1 Adjustments'!L24</f>
        <v>0</v>
      </c>
      <c r="G24" s="165">
        <f>'Schedule 1 Adjustments'!O24</f>
        <v>0</v>
      </c>
      <c r="H24" s="165">
        <f>'Schedule 1 Adjustments'!R24</f>
        <v>0</v>
      </c>
      <c r="I24" s="165">
        <f>-SUM(E24:H24)</f>
        <v>111445.75961817428</v>
      </c>
      <c r="J24" s="158">
        <f>SUM(E24:I24)</f>
        <v>0</v>
      </c>
      <c r="M24" s="140"/>
    </row>
    <row r="25" spans="1:13" s="22" customFormat="1" x14ac:dyDescent="0.35">
      <c r="A25" s="155">
        <v>9</v>
      </c>
      <c r="B25" s="479" t="s">
        <v>222</v>
      </c>
      <c r="C25" s="480"/>
      <c r="D25" s="481"/>
      <c r="E25" s="160">
        <f>SUM(E24:E24)</f>
        <v>-111445.75961817428</v>
      </c>
      <c r="F25" s="160">
        <f>SUM(F24:F24)</f>
        <v>0</v>
      </c>
      <c r="G25" s="160">
        <f>SUM(G24:G24)</f>
        <v>0</v>
      </c>
      <c r="H25" s="160">
        <f>SUM(H24:H24)</f>
        <v>0</v>
      </c>
      <c r="I25" s="160">
        <f>SUM(I24:I24)</f>
        <v>111445.75961817428</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82" t="s">
        <v>235</v>
      </c>
      <c r="B27" s="483"/>
      <c r="C27" s="483"/>
      <c r="D27" s="483"/>
      <c r="E27" s="483"/>
      <c r="F27" s="483"/>
      <c r="G27" s="483"/>
      <c r="H27" s="483"/>
      <c r="I27" s="483"/>
      <c r="J27" s="484"/>
      <c r="M27" s="140"/>
    </row>
    <row r="28" spans="1:13" s="22" customFormat="1" x14ac:dyDescent="0.35">
      <c r="A28" s="155">
        <v>10</v>
      </c>
      <c r="B28" s="473" t="s">
        <v>224</v>
      </c>
      <c r="C28" s="474"/>
      <c r="D28" s="475"/>
      <c r="E28" s="157">
        <f>'Schedule 1 Adjustments'!I28</f>
        <v>183259.19</v>
      </c>
      <c r="F28" s="157">
        <f>'Schedule 1 Adjustments'!L28</f>
        <v>3276.536126126126</v>
      </c>
      <c r="G28" s="157">
        <f>'Schedule 1 Adjustments'!O28</f>
        <v>0</v>
      </c>
      <c r="H28" s="157">
        <f>'Schedule 1 Adjustments'!R28</f>
        <v>13.873873873873872</v>
      </c>
      <c r="I28" s="157">
        <f>'Schedule 1 Adjustments'!U28</f>
        <v>0</v>
      </c>
      <c r="J28" s="158">
        <f>SUM(E28:I28)</f>
        <v>186549.6</v>
      </c>
      <c r="M28" s="140"/>
    </row>
    <row r="29" spans="1:13" s="22" customFormat="1" x14ac:dyDescent="0.35">
      <c r="A29" s="155">
        <v>11</v>
      </c>
      <c r="B29" s="173" t="s">
        <v>223</v>
      </c>
      <c r="C29" s="167"/>
      <c r="D29" s="168"/>
      <c r="E29" s="157">
        <f>'Schedule 1 Adjustments'!I29</f>
        <v>2224352.6599999997</v>
      </c>
      <c r="F29" s="157">
        <f>'Schedule 1 Adjustments'!L29</f>
        <v>4258874.001869238</v>
      </c>
      <c r="G29" s="157">
        <f>'Schedule 1 Adjustments'!O29</f>
        <v>546970.49791368854</v>
      </c>
      <c r="H29" s="157">
        <f>'Schedule 1 Adjustments'!R29</f>
        <v>359076.81021707325</v>
      </c>
      <c r="I29" s="157">
        <f>'Schedule 1 Adjustments'!U29</f>
        <v>0</v>
      </c>
      <c r="J29" s="158">
        <f>SUM(E29:I29)</f>
        <v>7389273.9699999988</v>
      </c>
      <c r="K29" s="128"/>
      <c r="M29" s="140"/>
    </row>
    <row r="30" spans="1:13" s="22" customFormat="1" x14ac:dyDescent="0.35">
      <c r="A30" s="155">
        <v>12</v>
      </c>
      <c r="B30" s="473" t="s">
        <v>300</v>
      </c>
      <c r="C30" s="474"/>
      <c r="D30" s="475"/>
      <c r="E30" s="157">
        <f>'Schedule 1 Adjustments'!I30</f>
        <v>484323.24999999994</v>
      </c>
      <c r="F30" s="157">
        <f>'Schedule 1 Adjustments'!L30</f>
        <v>212866.82584609662</v>
      </c>
      <c r="G30" s="157">
        <f>'Schedule 1 Adjustments'!O30</f>
        <v>15706.19468608949</v>
      </c>
      <c r="H30" s="157">
        <f>'Schedule 1 Adjustments'!R30</f>
        <v>28773.519467813894</v>
      </c>
      <c r="I30" s="157">
        <f>'Schedule 1 Adjustments'!U30</f>
        <v>171577.43</v>
      </c>
      <c r="J30" s="158">
        <f t="shared" ref="J30" si="3">SUM(E30:I30)</f>
        <v>913247.22</v>
      </c>
      <c r="M30" s="140"/>
    </row>
    <row r="31" spans="1:13" s="22" customFormat="1" x14ac:dyDescent="0.35">
      <c r="A31" s="155">
        <v>13</v>
      </c>
      <c r="B31" s="479" t="s">
        <v>225</v>
      </c>
      <c r="C31" s="480"/>
      <c r="D31" s="481"/>
      <c r="E31" s="160">
        <f>SUM(E28:E30)</f>
        <v>2891935.0999999996</v>
      </c>
      <c r="F31" s="160">
        <f>SUM(F28:F30)</f>
        <v>4475017.363841461</v>
      </c>
      <c r="G31" s="160">
        <f>SUM(G28:G30)</f>
        <v>562676.69259977806</v>
      </c>
      <c r="H31" s="160">
        <f>SUM(H28:H30)</f>
        <v>387864.20355876099</v>
      </c>
      <c r="I31" s="160">
        <f>SUM(I28:I30)</f>
        <v>171577.43</v>
      </c>
      <c r="J31" s="160">
        <f>SUM(E31:I31)</f>
        <v>8489070.7899999991</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79" t="s">
        <v>228</v>
      </c>
      <c r="C33" s="480"/>
      <c r="D33" s="481"/>
      <c r="E33" s="160">
        <f>E31+E25+E21+E16</f>
        <v>10112622.620381827</v>
      </c>
      <c r="F33" s="160">
        <f>F31+F25+F21+F16</f>
        <v>19257907.420661077</v>
      </c>
      <c r="G33" s="160">
        <f>G31+G25+G21+G16</f>
        <v>2770357.6226656893</v>
      </c>
      <c r="H33" s="160">
        <f>H31+H25+H21+H16</f>
        <v>1647952.886673233</v>
      </c>
      <c r="I33" s="160">
        <f>I31+I25+I21+I16</f>
        <v>283023.18961817428</v>
      </c>
      <c r="J33" s="160">
        <f t="shared" ref="J33" si="4">SUM(E33:I33)</f>
        <v>34071863.740000002</v>
      </c>
      <c r="M33" s="140"/>
    </row>
    <row r="34" spans="1:13" s="22" customFormat="1" x14ac:dyDescent="0.35">
      <c r="A34" s="161"/>
      <c r="B34" s="162"/>
      <c r="C34" s="162"/>
      <c r="D34" s="163"/>
      <c r="E34" s="164"/>
      <c r="F34" s="164"/>
      <c r="G34" s="164"/>
      <c r="H34" s="164"/>
      <c r="I34" s="164"/>
      <c r="J34" s="164"/>
      <c r="M34" s="140"/>
    </row>
    <row r="35" spans="1:13" s="22" customFormat="1" x14ac:dyDescent="0.35">
      <c r="A35" s="482" t="s">
        <v>234</v>
      </c>
      <c r="B35" s="483"/>
      <c r="C35" s="483"/>
      <c r="D35" s="483"/>
      <c r="E35" s="483"/>
      <c r="F35" s="483"/>
      <c r="G35" s="483"/>
      <c r="H35" s="483"/>
      <c r="I35" s="483"/>
      <c r="J35" s="484"/>
      <c r="M35" s="140"/>
    </row>
    <row r="36" spans="1:13" s="22" customFormat="1" x14ac:dyDescent="0.35">
      <c r="A36" s="155">
        <v>15</v>
      </c>
      <c r="B36" s="473" t="s">
        <v>292</v>
      </c>
      <c r="C36" s="474"/>
      <c r="D36" s="475"/>
      <c r="E36" s="157">
        <f>'Schedule 1 Adjustments'!I36</f>
        <v>78350.45</v>
      </c>
      <c r="F36" s="157">
        <f>'Schedule 1 Adjustments'!L36</f>
        <v>975486.40624377632</v>
      </c>
      <c r="G36" s="157">
        <f>'Schedule 1 Adjustments'!O36</f>
        <v>215943.17668175983</v>
      </c>
      <c r="H36" s="157">
        <f>'Schedule 1 Adjustments'!R36</f>
        <v>34171.407074463903</v>
      </c>
      <c r="I36" s="157">
        <f>'Schedule 1 Adjustments'!U36</f>
        <v>0</v>
      </c>
      <c r="J36" s="158">
        <f>SUM(E36:I36)</f>
        <v>1303951.44</v>
      </c>
      <c r="M36" s="140"/>
    </row>
    <row r="37" spans="1:13" s="22" customFormat="1" x14ac:dyDescent="0.35">
      <c r="A37" s="155">
        <v>16</v>
      </c>
      <c r="B37" s="473" t="s">
        <v>227</v>
      </c>
      <c r="C37" s="474"/>
      <c r="D37" s="475"/>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79" t="s">
        <v>226</v>
      </c>
      <c r="C39" s="480"/>
      <c r="D39" s="481"/>
      <c r="E39" s="160">
        <f>SUM(E36:E38)</f>
        <v>78350.45</v>
      </c>
      <c r="F39" s="160">
        <f t="shared" ref="F39:I39" si="5">SUM(F36:F38)</f>
        <v>975486.40624377632</v>
      </c>
      <c r="G39" s="160">
        <f t="shared" si="5"/>
        <v>215943.17668175983</v>
      </c>
      <c r="H39" s="160">
        <f t="shared" si="5"/>
        <v>34171.407074463903</v>
      </c>
      <c r="I39" s="160">
        <f t="shared" si="5"/>
        <v>0</v>
      </c>
      <c r="J39" s="160">
        <f>SUM(E39:I39)</f>
        <v>1303951.44</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79" t="s">
        <v>229</v>
      </c>
      <c r="C41" s="480"/>
      <c r="D41" s="481"/>
      <c r="E41" s="160">
        <f>E39+E33</f>
        <v>10190973.070381826</v>
      </c>
      <c r="F41" s="160">
        <f>F39+F33</f>
        <v>20233393.826904852</v>
      </c>
      <c r="G41" s="160">
        <f>G39+G33</f>
        <v>2986300.7993474491</v>
      </c>
      <c r="H41" s="160">
        <f>H39+H33</f>
        <v>1682124.293747697</v>
      </c>
      <c r="I41" s="160">
        <f>I39+I33</f>
        <v>283023.18961817428</v>
      </c>
      <c r="J41" s="160">
        <f>SUM(E41:I41)</f>
        <v>35375815.18</v>
      </c>
      <c r="M41" s="140"/>
    </row>
    <row r="42" spans="1:13" s="22" customFormat="1" x14ac:dyDescent="0.35">
      <c r="A42" s="161"/>
      <c r="B42" s="162"/>
      <c r="C42" s="162"/>
      <c r="D42" s="163"/>
      <c r="E42" s="164"/>
      <c r="F42" s="164"/>
      <c r="G42" s="164"/>
      <c r="H42" s="164"/>
      <c r="I42" s="164"/>
      <c r="J42" s="164"/>
      <c r="M42" s="140"/>
    </row>
    <row r="43" spans="1:13" s="22" customFormat="1" x14ac:dyDescent="0.35">
      <c r="A43" s="482" t="s">
        <v>487</v>
      </c>
      <c r="B43" s="483"/>
      <c r="C43" s="483"/>
      <c r="D43" s="483"/>
      <c r="E43" s="483"/>
      <c r="F43" s="483"/>
      <c r="G43" s="483"/>
      <c r="H43" s="483"/>
      <c r="I43" s="483"/>
      <c r="J43" s="484"/>
      <c r="M43" s="140"/>
    </row>
    <row r="44" spans="1:13" s="22" customFormat="1" x14ac:dyDescent="0.35">
      <c r="A44" s="155">
        <v>20</v>
      </c>
      <c r="B44" s="473" t="s">
        <v>283</v>
      </c>
      <c r="C44" s="474"/>
      <c r="D44" s="475"/>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473" t="s">
        <v>230</v>
      </c>
      <c r="C45" s="474"/>
      <c r="D45" s="475"/>
      <c r="E45" s="157">
        <f>'Schedule 1 Adjustments'!I45</f>
        <v>0</v>
      </c>
      <c r="F45" s="157">
        <f>'Schedule 1 Adjustments'!L45</f>
        <v>12656.248931312588</v>
      </c>
      <c r="G45" s="157">
        <f>'Schedule 1 Adjustments'!O45</f>
        <v>1687.5987779919867</v>
      </c>
      <c r="H45" s="157">
        <f>'Schedule 1 Adjustments'!R45</f>
        <v>371.85229069542567</v>
      </c>
      <c r="I45" s="157">
        <f>'Schedule 1 Adjustments'!U45</f>
        <v>0</v>
      </c>
      <c r="J45" s="158">
        <f t="shared" ref="J45:J50" si="6">SUM(E45:I45)</f>
        <v>14715.7</v>
      </c>
      <c r="M45" s="140"/>
    </row>
    <row r="46" spans="1:13" s="22" customFormat="1" x14ac:dyDescent="0.35">
      <c r="A46" s="155">
        <v>22</v>
      </c>
      <c r="B46" s="473" t="s">
        <v>288</v>
      </c>
      <c r="C46" s="474"/>
      <c r="D46" s="475"/>
      <c r="E46" s="157">
        <f>'Schedule 1 Adjustments'!I46</f>
        <v>0</v>
      </c>
      <c r="F46" s="157">
        <f>'Schedule 1 Adjustments'!L46</f>
        <v>4295.5632435836014</v>
      </c>
      <c r="G46" s="157">
        <f>'Schedule 1 Adjustments'!O46</f>
        <v>242939.73046987376</v>
      </c>
      <c r="H46" s="157">
        <f>'Schedule 1 Adjustments'!R46</f>
        <v>652.8762865426288</v>
      </c>
      <c r="I46" s="157">
        <f>'Schedule 1 Adjustments'!U46</f>
        <v>0</v>
      </c>
      <c r="J46" s="158">
        <f t="shared" si="6"/>
        <v>247888.16999999998</v>
      </c>
      <c r="M46" s="140"/>
    </row>
    <row r="47" spans="1:13" s="22" customFormat="1" x14ac:dyDescent="0.35">
      <c r="A47" s="155">
        <v>23</v>
      </c>
      <c r="B47" s="473" t="s">
        <v>284</v>
      </c>
      <c r="C47" s="474"/>
      <c r="D47" s="475"/>
      <c r="E47" s="157">
        <f>'Schedule 1 Adjustments'!I47</f>
        <v>0</v>
      </c>
      <c r="F47" s="157">
        <f>'Schedule 1 Adjustments'!L47</f>
        <v>0</v>
      </c>
      <c r="G47" s="157">
        <f>'Schedule 1 Adjustments'!O47</f>
        <v>0</v>
      </c>
      <c r="H47" s="157">
        <f>'Schedule 1 Adjustments'!R47</f>
        <v>0</v>
      </c>
      <c r="I47" s="157">
        <f>'Schedule 1 Adjustments'!U47</f>
        <v>0</v>
      </c>
      <c r="J47" s="158">
        <f t="shared" si="6"/>
        <v>0</v>
      </c>
      <c r="M47" s="140"/>
    </row>
    <row r="48" spans="1:13" s="22" customFormat="1" x14ac:dyDescent="0.35">
      <c r="A48" s="155">
        <v>24</v>
      </c>
      <c r="B48" s="473" t="s">
        <v>314</v>
      </c>
      <c r="C48" s="474"/>
      <c r="D48" s="475"/>
      <c r="E48" s="157">
        <f>'Schedule 1 Adjustments'!I48</f>
        <v>0</v>
      </c>
      <c r="F48" s="157">
        <f>'Schedule 1 Adjustments'!L48</f>
        <v>0</v>
      </c>
      <c r="G48" s="157">
        <f>'Schedule 1 Adjustments'!O48</f>
        <v>14094.42</v>
      </c>
      <c r="H48" s="157">
        <f>'Schedule 1 Adjustments'!R48</f>
        <v>19262.349999999999</v>
      </c>
      <c r="I48" s="157">
        <f>'Schedule 1 Adjustments'!U48</f>
        <v>0</v>
      </c>
      <c r="J48" s="158">
        <f t="shared" si="6"/>
        <v>33356.769999999997</v>
      </c>
      <c r="M48" s="140"/>
    </row>
    <row r="49" spans="1:13" s="22" customFormat="1" x14ac:dyDescent="0.35">
      <c r="A49" s="155">
        <v>25</v>
      </c>
      <c r="B49" s="473" t="s">
        <v>775</v>
      </c>
      <c r="C49" s="474"/>
      <c r="D49" s="475"/>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73" t="s">
        <v>452</v>
      </c>
      <c r="C50" s="474"/>
      <c r="D50" s="475"/>
      <c r="E50" s="157">
        <f>'Schedule 1 Adjustments'!I50</f>
        <v>28201.519999999997</v>
      </c>
      <c r="F50" s="157">
        <f>'Schedule 1 Adjustments'!L50</f>
        <v>185857.18314157706</v>
      </c>
      <c r="G50" s="157">
        <f>'Schedule 1 Adjustments'!O50</f>
        <v>30661.807063922417</v>
      </c>
      <c r="H50" s="157">
        <f>'Schedule 1 Adjustments'!R50</f>
        <v>10129.249794500534</v>
      </c>
      <c r="I50" s="157">
        <f>'Schedule 1 Adjustments'!U50</f>
        <v>0</v>
      </c>
      <c r="J50" s="158">
        <f t="shared" si="6"/>
        <v>254849.76</v>
      </c>
      <c r="M50" s="140"/>
    </row>
    <row r="51" spans="1:13" s="22" customFormat="1" x14ac:dyDescent="0.35">
      <c r="A51" s="155">
        <v>27</v>
      </c>
      <c r="B51" s="479" t="s">
        <v>238</v>
      </c>
      <c r="C51" s="480"/>
      <c r="D51" s="481"/>
      <c r="E51" s="160">
        <f>SUM(E44:E50)</f>
        <v>28201.519999999997</v>
      </c>
      <c r="F51" s="160">
        <f>SUM(F44:F50)</f>
        <v>202808.99531647324</v>
      </c>
      <c r="G51" s="160">
        <f>SUM(G44:G50)</f>
        <v>289383.55631178815</v>
      </c>
      <c r="H51" s="160">
        <f>SUM(H44:H50)</f>
        <v>30416.328371738586</v>
      </c>
      <c r="I51" s="160">
        <f>SUM(I44:I50)</f>
        <v>0</v>
      </c>
      <c r="J51" s="160">
        <f>SUM(E51:I51)</f>
        <v>550810.39999999991</v>
      </c>
      <c r="M51" s="140"/>
    </row>
    <row r="52" spans="1:13" s="22" customFormat="1" x14ac:dyDescent="0.35">
      <c r="A52" s="161"/>
      <c r="B52" s="485"/>
      <c r="C52" s="485"/>
      <c r="D52" s="485"/>
      <c r="E52" s="485"/>
      <c r="F52" s="485"/>
      <c r="G52" s="485"/>
      <c r="H52" s="164"/>
      <c r="I52" s="164"/>
      <c r="J52" s="164"/>
      <c r="M52" s="140"/>
    </row>
    <row r="53" spans="1:13" s="22" customFormat="1" x14ac:dyDescent="0.35">
      <c r="A53" s="482" t="s">
        <v>233</v>
      </c>
      <c r="B53" s="483"/>
      <c r="C53" s="483"/>
      <c r="D53" s="483"/>
      <c r="E53" s="483"/>
      <c r="F53" s="483"/>
      <c r="G53" s="483"/>
      <c r="H53" s="483"/>
      <c r="I53" s="483"/>
      <c r="J53" s="484"/>
      <c r="M53" s="140"/>
    </row>
    <row r="54" spans="1:13" s="22" customFormat="1" x14ac:dyDescent="0.35">
      <c r="A54" s="155">
        <v>28</v>
      </c>
      <c r="B54" s="473" t="s">
        <v>282</v>
      </c>
      <c r="C54" s="474"/>
      <c r="D54" s="475"/>
      <c r="E54" s="157">
        <f>'Schedule 1 Adjustments'!I54</f>
        <v>446482.46000000008</v>
      </c>
      <c r="F54" s="157">
        <f>'Schedule 1 Adjustments'!L54</f>
        <v>327559.23328029522</v>
      </c>
      <c r="G54" s="157">
        <f>'Schedule 1 Adjustments'!O54</f>
        <v>56544.301082322534</v>
      </c>
      <c r="H54" s="157">
        <f>'Schedule 1 Adjustments'!R54</f>
        <v>27759.00563738227</v>
      </c>
      <c r="I54" s="157">
        <f>'Schedule 1 Adjustments'!U54</f>
        <v>0</v>
      </c>
      <c r="J54" s="158">
        <f>SUM(E54:I54)</f>
        <v>858345</v>
      </c>
      <c r="M54" s="140"/>
    </row>
    <row r="55" spans="1:13" s="22" customFormat="1" x14ac:dyDescent="0.35">
      <c r="A55" s="155">
        <v>29</v>
      </c>
      <c r="B55" s="473" t="s">
        <v>294</v>
      </c>
      <c r="C55" s="474"/>
      <c r="D55" s="475"/>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73" t="s">
        <v>295</v>
      </c>
      <c r="C56" s="474"/>
      <c r="D56" s="475"/>
      <c r="E56" s="157">
        <f>'Schedule 1 Adjustments'!I56</f>
        <v>97205.14</v>
      </c>
      <c r="F56" s="157">
        <f>'Schedule 1 Adjustments'!L56</f>
        <v>212746.80229687504</v>
      </c>
      <c r="G56" s="157">
        <f>'Schedule 1 Adjustments'!O56</f>
        <v>18071.961686189701</v>
      </c>
      <c r="H56" s="157">
        <f>'Schedule 1 Adjustments'!R56</f>
        <v>19216.336016935249</v>
      </c>
      <c r="I56" s="157">
        <f>'Schedule 1 Adjustments'!U56</f>
        <v>0</v>
      </c>
      <c r="J56" s="158">
        <f t="shared" ref="J56:J58" si="8">SUM(E56:I56)</f>
        <v>347240.24</v>
      </c>
      <c r="M56" s="140"/>
    </row>
    <row r="57" spans="1:13" s="22" customFormat="1" x14ac:dyDescent="0.35">
      <c r="A57" s="155">
        <v>31</v>
      </c>
      <c r="B57" s="473" t="s">
        <v>296</v>
      </c>
      <c r="C57" s="474"/>
      <c r="D57" s="475"/>
      <c r="E57" s="157">
        <f>'Schedule 1 Adjustments'!I57</f>
        <v>187915.02000000002</v>
      </c>
      <c r="F57" s="157">
        <f>'Schedule 1 Adjustments'!L57</f>
        <v>160235.4961366512</v>
      </c>
      <c r="G57" s="157">
        <f>'Schedule 1 Adjustments'!O57</f>
        <v>47895.523524335425</v>
      </c>
      <c r="H57" s="157">
        <f>'Schedule 1 Adjustments'!R57</f>
        <v>12361.360339013365</v>
      </c>
      <c r="I57" s="157">
        <f>'Schedule 1 Adjustments'!U57</f>
        <v>0</v>
      </c>
      <c r="J57" s="158">
        <f t="shared" si="8"/>
        <v>408407.4</v>
      </c>
      <c r="M57" s="140"/>
    </row>
    <row r="58" spans="1:13" s="22" customFormat="1" x14ac:dyDescent="0.35">
      <c r="A58" s="155">
        <v>32</v>
      </c>
      <c r="B58" s="479" t="s">
        <v>231</v>
      </c>
      <c r="C58" s="480"/>
      <c r="D58" s="481"/>
      <c r="E58" s="160">
        <f>SUM(E54:E57)</f>
        <v>731602.62000000011</v>
      </c>
      <c r="F58" s="160">
        <f>SUM(F54:F57)</f>
        <v>700541.53171382146</v>
      </c>
      <c r="G58" s="160">
        <f>SUM(G54:G57)</f>
        <v>122511.78629284767</v>
      </c>
      <c r="H58" s="160">
        <f>SUM(H54:H57)</f>
        <v>59336.701993330884</v>
      </c>
      <c r="I58" s="160">
        <f>SUM(I54:I57)</f>
        <v>0</v>
      </c>
      <c r="J58" s="160">
        <f t="shared" si="8"/>
        <v>1613992.6400000001</v>
      </c>
      <c r="M58" s="140"/>
    </row>
    <row r="59" spans="1:13" s="22" customFormat="1" x14ac:dyDescent="0.35">
      <c r="A59" s="161"/>
      <c r="B59" s="162"/>
      <c r="C59" s="162"/>
      <c r="D59" s="163"/>
      <c r="E59" s="164"/>
      <c r="F59" s="164"/>
      <c r="G59" s="164"/>
      <c r="H59" s="164"/>
      <c r="I59" s="164"/>
      <c r="J59" s="164"/>
      <c r="M59" s="140"/>
    </row>
    <row r="60" spans="1:13" s="22" customFormat="1" x14ac:dyDescent="0.35">
      <c r="A60" s="482" t="s">
        <v>232</v>
      </c>
      <c r="B60" s="483"/>
      <c r="C60" s="483"/>
      <c r="D60" s="483"/>
      <c r="E60" s="483"/>
      <c r="F60" s="483"/>
      <c r="G60" s="483"/>
      <c r="H60" s="483"/>
      <c r="I60" s="483"/>
      <c r="J60" s="484"/>
      <c r="M60" s="140"/>
    </row>
    <row r="61" spans="1:13" s="22" customFormat="1" x14ac:dyDescent="0.35">
      <c r="A61" s="155">
        <v>33</v>
      </c>
      <c r="B61" s="473" t="s">
        <v>297</v>
      </c>
      <c r="C61" s="474"/>
      <c r="D61" s="475"/>
      <c r="E61" s="157">
        <f>'Schedule 1 Adjustments'!I61</f>
        <v>946873.84000000008</v>
      </c>
      <c r="F61" s="157">
        <f>'Schedule 1 Adjustments'!L61</f>
        <v>2739660.879958665</v>
      </c>
      <c r="G61" s="157">
        <f>'Schedule 1 Adjustments'!O61</f>
        <v>330833.78430425044</v>
      </c>
      <c r="H61" s="157">
        <f>'Schedule 1 Adjustments'!R61</f>
        <v>242764.11573708456</v>
      </c>
      <c r="I61" s="157">
        <f>'Schedule 1 Adjustments'!U61</f>
        <v>0</v>
      </c>
      <c r="J61" s="158">
        <f>SUM(E61:I61)</f>
        <v>4260132.62</v>
      </c>
      <c r="M61" s="140"/>
    </row>
    <row r="62" spans="1:13" s="22" customFormat="1" x14ac:dyDescent="0.35">
      <c r="A62" s="155">
        <v>34</v>
      </c>
      <c r="B62" s="473" t="s">
        <v>298</v>
      </c>
      <c r="C62" s="474"/>
      <c r="D62" s="475"/>
      <c r="E62" s="157">
        <f>'Schedule 1 Adjustments'!I62</f>
        <v>125358.89</v>
      </c>
      <c r="F62" s="157">
        <f>'Schedule 1 Adjustments'!L62</f>
        <v>109757.81132874814</v>
      </c>
      <c r="G62" s="157">
        <f>'Schedule 1 Adjustments'!O62</f>
        <v>12121.64750910455</v>
      </c>
      <c r="H62" s="157">
        <f>'Schedule 1 Adjustments'!R62</f>
        <v>6918.7311621473091</v>
      </c>
      <c r="I62" s="157">
        <f>'Schedule 1 Adjustments'!U62</f>
        <v>0</v>
      </c>
      <c r="J62" s="158">
        <f t="shared" ref="J62:J68" si="9">SUM(E62:I62)</f>
        <v>254157.08</v>
      </c>
      <c r="M62" s="140"/>
    </row>
    <row r="63" spans="1:13" s="22" customFormat="1" x14ac:dyDescent="0.35">
      <c r="A63" s="155">
        <v>35</v>
      </c>
      <c r="B63" s="473" t="s">
        <v>302</v>
      </c>
      <c r="C63" s="474"/>
      <c r="D63" s="475"/>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473" t="s">
        <v>315</v>
      </c>
      <c r="C64" s="474"/>
      <c r="D64" s="475"/>
      <c r="E64" s="157">
        <f>'Schedule 1 Adjustments'!I64</f>
        <v>0</v>
      </c>
      <c r="F64" s="157">
        <f>'Schedule 1 Adjustments'!L64</f>
        <v>434.4</v>
      </c>
      <c r="G64" s="157">
        <f>'Schedule 1 Adjustments'!O64</f>
        <v>0</v>
      </c>
      <c r="H64" s="157">
        <f>'Schedule 1 Adjustments'!R64</f>
        <v>0</v>
      </c>
      <c r="I64" s="157">
        <f>'Schedule 1 Adjustments'!U64</f>
        <v>0</v>
      </c>
      <c r="J64" s="158">
        <f t="shared" si="9"/>
        <v>434.4</v>
      </c>
      <c r="M64" s="140"/>
    </row>
    <row r="65" spans="1:13" s="22" customFormat="1" x14ac:dyDescent="0.35">
      <c r="A65" s="155">
        <v>37</v>
      </c>
      <c r="B65" s="473" t="s">
        <v>316</v>
      </c>
      <c r="C65" s="474"/>
      <c r="D65" s="475"/>
      <c r="E65" s="157">
        <f>'Schedule 1 Adjustments'!I65</f>
        <v>26181.469999999998</v>
      </c>
      <c r="F65" s="157">
        <f>'Schedule 1 Adjustments'!L65</f>
        <v>13985.807802245487</v>
      </c>
      <c r="G65" s="157">
        <f>'Schedule 1 Adjustments'!O65</f>
        <v>1254.7133898521197</v>
      </c>
      <c r="H65" s="157">
        <f>'Schedule 1 Adjustments'!R65</f>
        <v>1816.1388079023948</v>
      </c>
      <c r="I65" s="157">
        <f>'Schedule 1 Adjustments'!U65</f>
        <v>0</v>
      </c>
      <c r="J65" s="158">
        <f t="shared" si="9"/>
        <v>43238.130000000005</v>
      </c>
      <c r="M65" s="140"/>
    </row>
    <row r="66" spans="1:13" s="22" customFormat="1" x14ac:dyDescent="0.35">
      <c r="A66" s="155">
        <v>38</v>
      </c>
      <c r="B66" s="473" t="s">
        <v>317</v>
      </c>
      <c r="C66" s="474"/>
      <c r="D66" s="475"/>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473" t="s">
        <v>299</v>
      </c>
      <c r="C67" s="474"/>
      <c r="D67" s="475"/>
      <c r="E67" s="157">
        <f>'Schedule 1 Adjustments'!I67</f>
        <v>549.97</v>
      </c>
      <c r="F67" s="157">
        <f>'Schedule 1 Adjustments'!L67</f>
        <v>7032.7748074822666</v>
      </c>
      <c r="G67" s="157">
        <f>'Schedule 1 Adjustments'!O67</f>
        <v>0</v>
      </c>
      <c r="H67" s="157">
        <f>'Schedule 1 Adjustments'!R67</f>
        <v>365.46519251773424</v>
      </c>
      <c r="I67" s="157">
        <f>'Schedule 1 Adjustments'!U67</f>
        <v>0</v>
      </c>
      <c r="J67" s="158">
        <f t="shared" si="9"/>
        <v>7948.2100000000009</v>
      </c>
      <c r="M67" s="140"/>
    </row>
    <row r="68" spans="1:13" s="22" customFormat="1" x14ac:dyDescent="0.35">
      <c r="A68" s="155">
        <v>40</v>
      </c>
      <c r="B68" s="479" t="s">
        <v>237</v>
      </c>
      <c r="C68" s="480"/>
      <c r="D68" s="481"/>
      <c r="E68" s="160">
        <f>SUM(E61:E67)</f>
        <v>1098964.17</v>
      </c>
      <c r="F68" s="160">
        <f>SUM(F61:F67)</f>
        <v>2870871.6738971411</v>
      </c>
      <c r="G68" s="160">
        <f>SUM(G61:G67)</f>
        <v>344210.14520320715</v>
      </c>
      <c r="H68" s="160">
        <f>SUM(H61:H67)</f>
        <v>251864.450899652</v>
      </c>
      <c r="I68" s="160">
        <f>SUM(I61:I67)</f>
        <v>0</v>
      </c>
      <c r="J68" s="160">
        <f t="shared" si="9"/>
        <v>4565910.4400000004</v>
      </c>
      <c r="M68" s="140"/>
    </row>
    <row r="69" spans="1:13" s="22" customFormat="1" x14ac:dyDescent="0.35">
      <c r="A69" s="161"/>
      <c r="B69" s="162"/>
      <c r="C69" s="162"/>
      <c r="D69" s="163"/>
      <c r="E69" s="164"/>
      <c r="F69" s="164"/>
      <c r="G69" s="164"/>
      <c r="H69" s="164"/>
      <c r="I69" s="164"/>
      <c r="J69" s="164"/>
      <c r="M69" s="140"/>
    </row>
    <row r="70" spans="1:13" s="22" customFormat="1" x14ac:dyDescent="0.35">
      <c r="A70" s="482" t="s">
        <v>236</v>
      </c>
      <c r="B70" s="483"/>
      <c r="C70" s="483"/>
      <c r="D70" s="483"/>
      <c r="E70" s="483"/>
      <c r="F70" s="483"/>
      <c r="G70" s="483"/>
      <c r="H70" s="483"/>
      <c r="I70" s="483"/>
      <c r="J70" s="484"/>
      <c r="M70" s="140"/>
    </row>
    <row r="71" spans="1:13" s="22" customFormat="1" x14ac:dyDescent="0.35">
      <c r="A71" s="155">
        <v>41</v>
      </c>
      <c r="B71" s="473" t="s">
        <v>239</v>
      </c>
      <c r="C71" s="474"/>
      <c r="D71" s="475"/>
      <c r="E71" s="157">
        <f>'Schedule 1 Adjustments'!I71</f>
        <v>98579.07</v>
      </c>
      <c r="F71" s="157">
        <f>'Schedule 1 Adjustments'!L71</f>
        <v>20368.231464851004</v>
      </c>
      <c r="G71" s="157">
        <f>'Schedule 1 Adjustments'!O71</f>
        <v>591.20405104911674</v>
      </c>
      <c r="H71" s="157">
        <f>'Schedule 1 Adjustments'!R71</f>
        <v>979.48448409988157</v>
      </c>
      <c r="I71" s="157">
        <f>'Schedule 1 Adjustments'!U71</f>
        <v>0</v>
      </c>
      <c r="J71" s="158">
        <f t="shared" ref="J71:J74" si="10">SUM(E71:I71)</f>
        <v>120517.99000000002</v>
      </c>
      <c r="M71" s="140"/>
    </row>
    <row r="72" spans="1:13" s="22" customFormat="1" x14ac:dyDescent="0.35">
      <c r="A72" s="155">
        <v>42</v>
      </c>
      <c r="B72" s="473" t="s">
        <v>289</v>
      </c>
      <c r="C72" s="474"/>
      <c r="D72" s="475"/>
      <c r="E72" s="157">
        <f>'Schedule 1 Adjustments'!I72</f>
        <v>54898.71</v>
      </c>
      <c r="F72" s="157">
        <f>'Schedule 1 Adjustments'!L72</f>
        <v>55615.76424860071</v>
      </c>
      <c r="G72" s="157">
        <f>'Schedule 1 Adjustments'!O72</f>
        <v>2550.4521169110549</v>
      </c>
      <c r="H72" s="157">
        <f>'Schedule 1 Adjustments'!R72</f>
        <v>9155.5636344882332</v>
      </c>
      <c r="I72" s="157">
        <f>'Schedule 1 Adjustments'!U72</f>
        <v>0</v>
      </c>
      <c r="J72" s="158">
        <f t="shared" si="10"/>
        <v>122220.49</v>
      </c>
      <c r="M72" s="140"/>
    </row>
    <row r="73" spans="1:13" s="22" customFormat="1" x14ac:dyDescent="0.35">
      <c r="A73" s="155">
        <v>43</v>
      </c>
      <c r="B73" s="473" t="s">
        <v>240</v>
      </c>
      <c r="C73" s="474"/>
      <c r="D73" s="475"/>
      <c r="E73" s="157">
        <f>'Schedule 1 Adjustments'!I73</f>
        <v>60039.43</v>
      </c>
      <c r="F73" s="157">
        <f>'Schedule 1 Adjustments'!L73</f>
        <v>0</v>
      </c>
      <c r="G73" s="157">
        <f>'Schedule 1 Adjustments'!O73</f>
        <v>0</v>
      </c>
      <c r="H73" s="157">
        <f>'Schedule 1 Adjustments'!R73</f>
        <v>0</v>
      </c>
      <c r="I73" s="157">
        <f>'Schedule 1 Adjustments'!U73</f>
        <v>0</v>
      </c>
      <c r="J73" s="158">
        <f t="shared" si="10"/>
        <v>60039.43</v>
      </c>
      <c r="M73" s="140"/>
    </row>
    <row r="74" spans="1:13" s="22" customFormat="1" x14ac:dyDescent="0.35">
      <c r="A74" s="155">
        <v>44</v>
      </c>
      <c r="B74" s="473" t="s">
        <v>308</v>
      </c>
      <c r="C74" s="474"/>
      <c r="D74" s="475"/>
      <c r="E74" s="157">
        <f>'Schedule 1 Adjustments'!I74</f>
        <v>146457.70000000001</v>
      </c>
      <c r="F74" s="157">
        <f>'Schedule 1 Adjustments'!L74</f>
        <v>301.04837942540087</v>
      </c>
      <c r="G74" s="157">
        <f>'Schedule 1 Adjustments'!O74</f>
        <v>912.79771136204147</v>
      </c>
      <c r="H74" s="157">
        <f>'Schedule 1 Adjustments'!R74</f>
        <v>14.15390921255762</v>
      </c>
      <c r="I74" s="157">
        <f>'Schedule 1 Adjustments'!U74</f>
        <v>9284</v>
      </c>
      <c r="J74" s="158">
        <f t="shared" si="10"/>
        <v>156969.70000000001</v>
      </c>
      <c r="M74" s="140"/>
    </row>
    <row r="75" spans="1:13" s="22" customFormat="1" x14ac:dyDescent="0.35">
      <c r="A75" s="155">
        <v>45</v>
      </c>
      <c r="B75" s="473" t="s">
        <v>286</v>
      </c>
      <c r="C75" s="474"/>
      <c r="D75" s="475"/>
      <c r="E75" s="157">
        <f>'Schedule 1 Adjustments'!I75</f>
        <v>33259.989999999991</v>
      </c>
      <c r="F75" s="157">
        <f>'Schedule 1 Adjustments'!L75</f>
        <v>74.438273508265056</v>
      </c>
      <c r="G75" s="157">
        <f>'Schedule 1 Adjustments'!O75</f>
        <v>11.116632556934704</v>
      </c>
      <c r="H75" s="157">
        <f>'Schedule 1 Adjustments'!R75</f>
        <v>6.3450939348002198</v>
      </c>
      <c r="I75" s="157">
        <f>'Schedule 1 Adjustments'!U75</f>
        <v>655395.04</v>
      </c>
      <c r="J75" s="158">
        <f>SUM(E75:I75)</f>
        <v>688746.93</v>
      </c>
      <c r="M75" s="140"/>
    </row>
    <row r="76" spans="1:13" s="22" customFormat="1" x14ac:dyDescent="0.35">
      <c r="A76" s="155">
        <v>46</v>
      </c>
      <c r="B76" s="473" t="s">
        <v>287</v>
      </c>
      <c r="C76" s="474"/>
      <c r="D76" s="475"/>
      <c r="E76" s="157">
        <f>'Schedule 1 Adjustments'!I76</f>
        <v>1728194.62</v>
      </c>
      <c r="F76" s="157">
        <f>'Schedule 1 Adjustments'!L76</f>
        <v>206460.04</v>
      </c>
      <c r="G76" s="157">
        <f>'Schedule 1 Adjustments'!O76</f>
        <v>161131.45000000001</v>
      </c>
      <c r="H76" s="157">
        <f>'Schedule 1 Adjustments'!R76</f>
        <v>0</v>
      </c>
      <c r="I76" s="157">
        <f>'Schedule 1 Adjustments'!U76</f>
        <v>0</v>
      </c>
      <c r="J76" s="158">
        <f t="shared" ref="J76:J79" si="11">SUM(E76:I76)</f>
        <v>2095786.11</v>
      </c>
      <c r="M76" s="140"/>
    </row>
    <row r="77" spans="1:13" s="22" customFormat="1" x14ac:dyDescent="0.35">
      <c r="A77" s="155">
        <v>47</v>
      </c>
      <c r="B77" s="473" t="s">
        <v>318</v>
      </c>
      <c r="C77" s="474"/>
      <c r="D77" s="475"/>
      <c r="E77" s="157">
        <f>'Schedule 1 Adjustments'!I77</f>
        <v>218359.94</v>
      </c>
      <c r="F77" s="157">
        <f>'Schedule 1 Adjustments'!L77</f>
        <v>330155.75561922521</v>
      </c>
      <c r="G77" s="157">
        <f>'Schedule 1 Adjustments'!O77</f>
        <v>42807.50086637104</v>
      </c>
      <c r="H77" s="157">
        <f>'Schedule 1 Adjustments'!R77</f>
        <v>31072.113514403722</v>
      </c>
      <c r="I77" s="157">
        <f>'Schedule 1 Adjustments'!U77</f>
        <v>0</v>
      </c>
      <c r="J77" s="158">
        <f t="shared" si="11"/>
        <v>622395.31000000006</v>
      </c>
      <c r="M77" s="140"/>
    </row>
    <row r="78" spans="1:13" s="22" customFormat="1" x14ac:dyDescent="0.35">
      <c r="A78" s="155">
        <v>48</v>
      </c>
      <c r="B78" s="473" t="s">
        <v>285</v>
      </c>
      <c r="C78" s="474"/>
      <c r="D78" s="475"/>
      <c r="E78" s="157">
        <f>'Schedule 1 Adjustments'!I78</f>
        <v>133065.1</v>
      </c>
      <c r="F78" s="157">
        <f>'Schedule 1 Adjustments'!L78</f>
        <v>233953.07368742125</v>
      </c>
      <c r="G78" s="157">
        <f>'Schedule 1 Adjustments'!O78</f>
        <v>31345.439356545656</v>
      </c>
      <c r="H78" s="157">
        <f>'Schedule 1 Adjustments'!R78</f>
        <v>10093.966956033066</v>
      </c>
      <c r="I78" s="157">
        <f>'Schedule 1 Adjustments'!U78</f>
        <v>0</v>
      </c>
      <c r="J78" s="158">
        <f t="shared" si="11"/>
        <v>408457.58</v>
      </c>
      <c r="M78" s="140"/>
    </row>
    <row r="79" spans="1:13" s="22" customFormat="1" x14ac:dyDescent="0.35">
      <c r="A79" s="155">
        <v>49</v>
      </c>
      <c r="B79" s="479" t="s">
        <v>279</v>
      </c>
      <c r="C79" s="480"/>
      <c r="D79" s="481"/>
      <c r="E79" s="160">
        <f>SUM(E71:E78)</f>
        <v>2472854.56</v>
      </c>
      <c r="F79" s="160">
        <f t="shared" ref="F79:I79" si="12">SUM(F71:F78)</f>
        <v>846928.35167303181</v>
      </c>
      <c r="G79" s="160">
        <f t="shared" si="12"/>
        <v>239349.96073479584</v>
      </c>
      <c r="H79" s="160">
        <f t="shared" si="12"/>
        <v>51321.627592172255</v>
      </c>
      <c r="I79" s="160">
        <f t="shared" si="12"/>
        <v>664679.04</v>
      </c>
      <c r="J79" s="160">
        <f t="shared" si="11"/>
        <v>4275133.54</v>
      </c>
      <c r="M79" s="140"/>
    </row>
    <row r="80" spans="1:13" s="22" customFormat="1" x14ac:dyDescent="0.35">
      <c r="A80" s="161"/>
      <c r="B80" s="162"/>
      <c r="C80" s="162"/>
      <c r="D80" s="163"/>
      <c r="E80" s="164"/>
      <c r="F80" s="164"/>
      <c r="G80" s="164"/>
      <c r="H80" s="164"/>
      <c r="I80" s="164"/>
      <c r="J80" s="164"/>
      <c r="M80" s="140"/>
    </row>
    <row r="81" spans="1:13" s="22" customFormat="1" x14ac:dyDescent="0.35">
      <c r="A81" s="482" t="s">
        <v>303</v>
      </c>
      <c r="B81" s="483"/>
      <c r="C81" s="483"/>
      <c r="D81" s="483"/>
      <c r="E81" s="483"/>
      <c r="F81" s="483"/>
      <c r="G81" s="483"/>
      <c r="H81" s="483"/>
      <c r="I81" s="483"/>
      <c r="J81" s="484"/>
      <c r="M81" s="140"/>
    </row>
    <row r="82" spans="1:13" s="22" customFormat="1" x14ac:dyDescent="0.35">
      <c r="A82" s="155">
        <v>50</v>
      </c>
      <c r="B82" s="473" t="s">
        <v>304</v>
      </c>
      <c r="C82" s="474"/>
      <c r="D82" s="475"/>
      <c r="E82" s="98"/>
      <c r="F82" s="98"/>
      <c r="G82" s="98"/>
      <c r="H82" s="98"/>
      <c r="I82" s="157">
        <f>'Schedule 1 Adjustments'!U82</f>
        <v>703.36</v>
      </c>
      <c r="J82" s="158">
        <f>I82</f>
        <v>703.36</v>
      </c>
      <c r="M82" s="140"/>
    </row>
    <row r="83" spans="1:13" s="22" customFormat="1" x14ac:dyDescent="0.35">
      <c r="A83" s="155">
        <v>51</v>
      </c>
      <c r="B83" s="473" t="s">
        <v>309</v>
      </c>
      <c r="C83" s="474"/>
      <c r="D83" s="475"/>
      <c r="E83" s="98"/>
      <c r="F83" s="98"/>
      <c r="G83" s="98"/>
      <c r="H83" s="98"/>
      <c r="I83" s="157">
        <f>'Schedule 1 Adjustments'!U83</f>
        <v>0</v>
      </c>
      <c r="J83" s="158">
        <f>I83</f>
        <v>0</v>
      </c>
      <c r="M83" s="140"/>
    </row>
    <row r="84" spans="1:13" s="22" customFormat="1" x14ac:dyDescent="0.35">
      <c r="A84" s="155">
        <v>52</v>
      </c>
      <c r="B84" s="473" t="s">
        <v>310</v>
      </c>
      <c r="C84" s="474"/>
      <c r="D84" s="475"/>
      <c r="E84" s="98"/>
      <c r="F84" s="98"/>
      <c r="G84" s="98"/>
      <c r="H84" s="98"/>
      <c r="I84" s="157">
        <f>'Schedule 1 Adjustments'!U84</f>
        <v>326772.15999999997</v>
      </c>
      <c r="J84" s="158">
        <f t="shared" ref="J84:J85" si="13">I84</f>
        <v>326772.15999999997</v>
      </c>
      <c r="M84" s="140"/>
    </row>
    <row r="85" spans="1:13" s="22" customFormat="1" x14ac:dyDescent="0.35">
      <c r="A85" s="155">
        <v>53</v>
      </c>
      <c r="B85" s="473" t="s">
        <v>305</v>
      </c>
      <c r="C85" s="474"/>
      <c r="D85" s="475"/>
      <c r="E85" s="98"/>
      <c r="F85" s="98"/>
      <c r="G85" s="98"/>
      <c r="H85" s="98"/>
      <c r="I85" s="157">
        <f>'Schedule 1 Adjustments'!U85</f>
        <v>89502.83</v>
      </c>
      <c r="J85" s="158">
        <f t="shared" si="13"/>
        <v>89502.83</v>
      </c>
      <c r="M85" s="140"/>
    </row>
    <row r="86" spans="1:13" s="22" customFormat="1" x14ac:dyDescent="0.35">
      <c r="A86" s="155">
        <v>54</v>
      </c>
      <c r="B86" s="479" t="s">
        <v>306</v>
      </c>
      <c r="C86" s="480"/>
      <c r="D86" s="481"/>
      <c r="E86" s="160">
        <v>0</v>
      </c>
      <c r="F86" s="160">
        <v>0</v>
      </c>
      <c r="G86" s="160">
        <v>0</v>
      </c>
      <c r="H86" s="160">
        <v>0</v>
      </c>
      <c r="I86" s="160">
        <f>SUM(I82:I85)</f>
        <v>416978.35</v>
      </c>
      <c r="J86" s="160">
        <f t="shared" ref="J86" si="14">SUM(E86:I86)</f>
        <v>416978.35</v>
      </c>
      <c r="M86" s="140"/>
    </row>
    <row r="87" spans="1:13" s="22" customFormat="1" x14ac:dyDescent="0.35">
      <c r="A87" s="161"/>
      <c r="B87" s="162"/>
      <c r="C87" s="162"/>
      <c r="D87" s="163"/>
      <c r="E87" s="164"/>
      <c r="F87" s="164"/>
      <c r="G87" s="164"/>
      <c r="H87" s="164"/>
      <c r="I87" s="164"/>
      <c r="J87" s="164"/>
      <c r="M87" s="140"/>
    </row>
    <row r="88" spans="1:13" s="22" customFormat="1" x14ac:dyDescent="0.35">
      <c r="A88" s="482" t="s">
        <v>273</v>
      </c>
      <c r="B88" s="483"/>
      <c r="C88" s="483"/>
      <c r="D88" s="483"/>
      <c r="E88" s="483"/>
      <c r="F88" s="483"/>
      <c r="G88" s="483"/>
      <c r="H88" s="483"/>
      <c r="I88" s="483"/>
      <c r="J88" s="484"/>
      <c r="M88" s="140"/>
    </row>
    <row r="89" spans="1:13" s="22" customFormat="1" x14ac:dyDescent="0.35">
      <c r="A89" s="155">
        <v>55</v>
      </c>
      <c r="B89" s="473" t="s">
        <v>274</v>
      </c>
      <c r="C89" s="474"/>
      <c r="D89" s="475"/>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79" t="s">
        <v>270</v>
      </c>
      <c r="C90" s="480"/>
      <c r="D90" s="481"/>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79" t="s">
        <v>241</v>
      </c>
      <c r="C92" s="480"/>
      <c r="D92" s="481"/>
      <c r="E92" s="160">
        <f>E79+E68+E58+E51+E41+E90+E86</f>
        <v>14522595.940381825</v>
      </c>
      <c r="F92" s="160">
        <f>F79+F68+F58+F51+F41+F90+F86</f>
        <v>24854544.379505318</v>
      </c>
      <c r="G92" s="160">
        <f>G79+G68+G58+G51+G41+G90+G86</f>
        <v>3981756.2478900878</v>
      </c>
      <c r="H92" s="160">
        <f>H79+H68+H58+H51+H41+H90+H86</f>
        <v>2075063.4026045909</v>
      </c>
      <c r="I92" s="160">
        <f>I79+I68+I58+I51+I41+I90+I86</f>
        <v>1364680.5796181741</v>
      </c>
      <c r="J92" s="160">
        <f t="shared" ref="J92:J96" si="16">SUM(E92:I92)</f>
        <v>46798640.54999999</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73" t="s">
        <v>2</v>
      </c>
      <c r="C94" s="474"/>
      <c r="D94" s="475"/>
      <c r="E94" s="158">
        <f>E92*-1</f>
        <v>-14522595.940381825</v>
      </c>
      <c r="F94" s="157">
        <f>'Schedule 1 Adjustments'!L94</f>
        <v>11183294.287500178</v>
      </c>
      <c r="G94" s="157">
        <f>'Schedule 1 Adjustments'!O94</f>
        <v>1791589.9491589726</v>
      </c>
      <c r="H94" s="157">
        <f>'Schedule 1 Adjustments'!R94</f>
        <v>933674.11376424017</v>
      </c>
      <c r="I94" s="157">
        <f>'Schedule 1 Adjustments'!U94</f>
        <v>614037.58995843283</v>
      </c>
      <c r="J94" s="160">
        <f t="shared" si="16"/>
        <v>-9.3132257461547852E-10</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76" t="s">
        <v>242</v>
      </c>
      <c r="C96" s="477"/>
      <c r="D96" s="478"/>
      <c r="E96" s="169">
        <f>E94+E92</f>
        <v>0</v>
      </c>
      <c r="F96" s="169">
        <f t="shared" ref="F96:I96" si="17">F94+F92</f>
        <v>36037838.667005494</v>
      </c>
      <c r="G96" s="169">
        <f t="shared" si="17"/>
        <v>5773346.1970490608</v>
      </c>
      <c r="H96" s="169">
        <f t="shared" si="17"/>
        <v>3008737.516368831</v>
      </c>
      <c r="I96" s="169">
        <f t="shared" si="17"/>
        <v>1978718.1695766069</v>
      </c>
      <c r="J96" s="169">
        <f t="shared" si="16"/>
        <v>46798640.54999999</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72" t="s">
        <v>4</v>
      </c>
      <c r="C98" s="472"/>
      <c r="D98" s="170"/>
      <c r="E98" s="170"/>
      <c r="F98" s="150">
        <f>'Schedule 1 Adjustments'!L98</f>
        <v>11234</v>
      </c>
      <c r="G98" s="170"/>
      <c r="H98" s="170"/>
      <c r="I98" s="170"/>
      <c r="J98" s="170"/>
      <c r="M98" s="140"/>
    </row>
    <row r="99" spans="1:13" s="22" customFormat="1" x14ac:dyDescent="0.35">
      <c r="A99" s="155">
        <v>61</v>
      </c>
      <c r="B99" s="472" t="s">
        <v>5</v>
      </c>
      <c r="C99" s="472"/>
      <c r="D99" s="170"/>
      <c r="E99" s="170"/>
      <c r="F99" s="158">
        <f>IFERROR(F96/F98,"")</f>
        <v>3207.9258204562484</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72" t="s">
        <v>307</v>
      </c>
      <c r="C101" s="472"/>
      <c r="D101" s="170"/>
      <c r="E101" s="170"/>
      <c r="F101" s="170"/>
      <c r="G101" s="170"/>
      <c r="H101" s="170"/>
      <c r="I101" s="170"/>
      <c r="J101" s="157">
        <f>'Schedule 1 Adjustments'!X101</f>
        <v>46798641</v>
      </c>
      <c r="M101" s="140"/>
    </row>
    <row r="102" spans="1:13" s="22" customFormat="1" x14ac:dyDescent="0.35">
      <c r="A102" s="155">
        <v>63</v>
      </c>
      <c r="B102" s="472" t="s">
        <v>10</v>
      </c>
      <c r="C102" s="472"/>
      <c r="D102" s="170"/>
      <c r="E102" s="170"/>
      <c r="F102" s="170"/>
      <c r="G102" s="170"/>
      <c r="H102" s="170"/>
      <c r="I102" s="170"/>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72" t="s">
        <v>202</v>
      </c>
      <c r="C104" s="472"/>
      <c r="D104" s="100"/>
      <c r="E104" s="172">
        <f>IFERROR(E92/SUM(F92:I92),"")</f>
        <v>0.44994967989522888</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scale="43"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pageSetUpPr fitToPage="1"/>
  </sheetPr>
  <dimension ref="A1:Y96"/>
  <sheetViews>
    <sheetView workbookViewId="0"/>
  </sheetViews>
  <sheetFormatPr defaultColWidth="9.08984375" defaultRowHeight="14.5" x14ac:dyDescent="0.35"/>
  <cols>
    <col min="1" max="1" width="6.90625" customWidth="1"/>
    <col min="2" max="2" width="16" customWidth="1"/>
    <col min="3" max="3" width="29.08984375" customWidth="1"/>
    <col min="4" max="6" width="19" customWidth="1"/>
    <col min="7" max="9" width="21.089843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4.9" customHeight="1" x14ac:dyDescent="0.5">
      <c r="A3" s="488" t="s">
        <v>676</v>
      </c>
      <c r="B3" s="488"/>
      <c r="C3" s="488"/>
      <c r="D3" s="488"/>
      <c r="E3" s="488"/>
      <c r="F3" s="488"/>
      <c r="G3" s="488"/>
      <c r="H3" s="488"/>
      <c r="I3" s="488"/>
      <c r="J3" s="488"/>
    </row>
    <row r="4" spans="1:12" ht="24.9" customHeight="1" x14ac:dyDescent="0.5">
      <c r="A4" s="243" t="str">
        <f>Results!A4</f>
        <v>Final Adjustments</v>
      </c>
      <c r="B4" s="360"/>
      <c r="C4" s="360"/>
      <c r="D4" s="360"/>
      <c r="E4" s="360"/>
      <c r="F4" s="360"/>
      <c r="G4" s="360"/>
      <c r="H4" s="360"/>
      <c r="I4" s="360"/>
      <c r="J4" s="360"/>
    </row>
    <row r="5" spans="1:12" x14ac:dyDescent="0.35">
      <c r="H5" s="61"/>
      <c r="J5" s="130"/>
      <c r="K5" s="130"/>
      <c r="L5" s="130"/>
    </row>
    <row r="6" spans="1:12" x14ac:dyDescent="0.35">
      <c r="A6" s="1" t="s">
        <v>773</v>
      </c>
      <c r="C6" s="420" t="str">
        <f>Results!$C$6</f>
        <v>Diversus Health</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489" t="s">
        <v>488</v>
      </c>
      <c r="B14" s="489"/>
      <c r="C14" s="489"/>
      <c r="D14" s="489"/>
      <c r="E14" s="489"/>
      <c r="F14" s="489"/>
      <c r="G14" s="489"/>
      <c r="H14" s="489"/>
      <c r="I14" s="79"/>
      <c r="J14" s="62"/>
    </row>
    <row r="15" spans="1:12" ht="15" customHeight="1" x14ac:dyDescent="0.35">
      <c r="A15" s="489"/>
      <c r="B15" s="489"/>
      <c r="C15" s="489"/>
      <c r="D15" s="489"/>
      <c r="E15" s="489"/>
      <c r="F15" s="489"/>
      <c r="G15" s="489"/>
      <c r="H15" s="489"/>
      <c r="I15" s="79"/>
      <c r="J15" s="62"/>
    </row>
    <row r="16" spans="1:12" ht="15" customHeight="1" x14ac:dyDescent="0.35">
      <c r="A16" s="489"/>
      <c r="B16" s="489"/>
      <c r="C16" s="489"/>
      <c r="D16" s="489"/>
      <c r="E16" s="489"/>
      <c r="F16" s="489"/>
      <c r="G16" s="489"/>
      <c r="H16" s="489"/>
      <c r="I16" s="79"/>
      <c r="J16" s="62"/>
    </row>
    <row r="17" spans="1:9" x14ac:dyDescent="0.35">
      <c r="A17" s="489"/>
      <c r="B17" s="489"/>
      <c r="C17" s="489"/>
      <c r="D17" s="489"/>
      <c r="E17" s="489"/>
      <c r="F17" s="489"/>
      <c r="G17" s="489"/>
      <c r="H17" s="489"/>
      <c r="I17" s="62"/>
    </row>
    <row r="18" spans="1:9" x14ac:dyDescent="0.35">
      <c r="A18" s="174"/>
      <c r="B18" s="174"/>
      <c r="C18" s="174"/>
      <c r="D18" s="174"/>
      <c r="E18" s="174"/>
      <c r="F18" s="174"/>
      <c r="G18" s="174"/>
      <c r="H18" s="174"/>
      <c r="I18" s="127"/>
    </row>
    <row r="19" spans="1:9" x14ac:dyDescent="0.35">
      <c r="A19" s="174"/>
      <c r="B19" s="490">
        <v>1</v>
      </c>
      <c r="C19" s="491"/>
      <c r="D19" s="175">
        <v>2</v>
      </c>
      <c r="E19" s="175">
        <v>3</v>
      </c>
      <c r="F19" s="175">
        <v>4</v>
      </c>
      <c r="G19" s="175">
        <v>5</v>
      </c>
      <c r="H19" s="175">
        <v>6</v>
      </c>
      <c r="I19" s="127"/>
    </row>
    <row r="20" spans="1:9" s="4" customFormat="1" ht="58" x14ac:dyDescent="0.35">
      <c r="A20" s="176"/>
      <c r="B20" s="492" t="s">
        <v>599</v>
      </c>
      <c r="C20" s="492"/>
      <c r="D20" s="151" t="s">
        <v>719</v>
      </c>
      <c r="E20" s="151" t="s">
        <v>720</v>
      </c>
      <c r="F20" s="151" t="s">
        <v>721</v>
      </c>
      <c r="G20" s="151" t="s">
        <v>677</v>
      </c>
      <c r="H20" s="151" t="s">
        <v>678</v>
      </c>
      <c r="I20" s="36"/>
    </row>
    <row r="21" spans="1:9" x14ac:dyDescent="0.35">
      <c r="A21" s="177">
        <v>1</v>
      </c>
      <c r="B21" s="487" t="str">
        <f>'Schedule 1A Adjustments'!B20:C20</f>
        <v>Chief Executive Officer</v>
      </c>
      <c r="C21" s="487"/>
      <c r="D21" s="178">
        <f>'Schedule 1A Adjustments'!D20</f>
        <v>2</v>
      </c>
      <c r="E21" s="179">
        <f>'Schedule 1A Adjustments'!E20</f>
        <v>12</v>
      </c>
      <c r="F21" s="179">
        <f>'Schedule 1A Adjustments'!F20</f>
        <v>1</v>
      </c>
      <c r="G21" s="180">
        <f>'Schedule 1A Adjustments'!I20</f>
        <v>423430.01</v>
      </c>
      <c r="H21" s="181">
        <f>IF(G21-$D$9&gt;0,G21-$D$9,0)</f>
        <v>90580.010000000009</v>
      </c>
      <c r="I21" s="36"/>
    </row>
    <row r="22" spans="1:9" x14ac:dyDescent="0.35">
      <c r="A22" s="177">
        <f>A21+1</f>
        <v>2</v>
      </c>
      <c r="B22" s="487" t="str">
        <f>'Schedule 1A Adjustments'!B21:C21</f>
        <v>Chief Medical Officer</v>
      </c>
      <c r="C22" s="487"/>
      <c r="D22" s="178">
        <f>'Schedule 1A Adjustments'!D21</f>
        <v>2</v>
      </c>
      <c r="E22" s="179">
        <f>'Schedule 1A Adjustments'!E21</f>
        <v>12</v>
      </c>
      <c r="F22" s="179">
        <f>'Schedule 1A Adjustments'!F21</f>
        <v>1</v>
      </c>
      <c r="G22" s="180">
        <f>'Schedule 1A Adjustments'!I21</f>
        <v>353715.74961817428</v>
      </c>
      <c r="H22" s="181">
        <f>IF(G22-$D$9&gt;0,G22-$D$9,0)</f>
        <v>20865.749618174275</v>
      </c>
      <c r="I22" s="48"/>
    </row>
    <row r="23" spans="1:9" x14ac:dyDescent="0.35">
      <c r="A23" s="177">
        <f t="shared" ref="A23:A31" si="0">A22+1</f>
        <v>3</v>
      </c>
      <c r="B23" s="487" t="str">
        <f>'Schedule 1A Adjustments'!B22:C22</f>
        <v>Chief Clinical Officer</v>
      </c>
      <c r="C23" s="487"/>
      <c r="D23" s="178">
        <f>'Schedule 1A Adjustments'!D22</f>
        <v>2</v>
      </c>
      <c r="E23" s="179">
        <f>'Schedule 1A Adjustments'!E22</f>
        <v>12</v>
      </c>
      <c r="F23" s="179">
        <f>'Schedule 1A Adjustments'!F22</f>
        <v>1</v>
      </c>
      <c r="G23" s="180">
        <f>'Schedule 1A Adjustments'!I22</f>
        <v>237724.73000000016</v>
      </c>
      <c r="H23" s="181">
        <f>IF(G23-$D$9&gt;0,G23-$D$9,0)</f>
        <v>0</v>
      </c>
      <c r="I23" s="48"/>
    </row>
    <row r="24" spans="1:9" x14ac:dyDescent="0.35">
      <c r="A24" s="177">
        <f t="shared" si="0"/>
        <v>4</v>
      </c>
      <c r="B24" s="487" t="str">
        <f>'Schedule 1A Adjustments'!B23:C23</f>
        <v>Chief Operating Officer</v>
      </c>
      <c r="C24" s="487"/>
      <c r="D24" s="178">
        <f>'Schedule 1A Adjustments'!D23</f>
        <v>2</v>
      </c>
      <c r="E24" s="179">
        <f>'Schedule 1A Adjustments'!E23</f>
        <v>12</v>
      </c>
      <c r="F24" s="179">
        <f>'Schedule 1A Adjustments'!F23</f>
        <v>1</v>
      </c>
      <c r="G24" s="180">
        <f>'Schedule 1A Adjustments'!I23</f>
        <v>228924.03727509509</v>
      </c>
      <c r="H24" s="181">
        <f>IF(G24-$D$9&gt;0,G24-$D$9,0)</f>
        <v>0</v>
      </c>
      <c r="I24" s="48"/>
    </row>
    <row r="25" spans="1:9" x14ac:dyDescent="0.35">
      <c r="A25" s="177">
        <f t="shared" si="0"/>
        <v>5</v>
      </c>
      <c r="B25" s="487" t="str">
        <f>'Schedule 1A Adjustments'!B24:C24</f>
        <v>Chief Information Officer</v>
      </c>
      <c r="C25" s="487"/>
      <c r="D25" s="178">
        <f>'Schedule 1A Adjustments'!D24</f>
        <v>2</v>
      </c>
      <c r="E25" s="179">
        <f>'Schedule 1A Adjustments'!E24</f>
        <v>12</v>
      </c>
      <c r="F25" s="179">
        <f>'Schedule 1A Adjustments'!F24</f>
        <v>1</v>
      </c>
      <c r="G25" s="180">
        <f>'Schedule 1A Adjustments'!I24</f>
        <v>195011.21863368686</v>
      </c>
      <c r="H25" s="181">
        <f>IF(G25-$D$9&gt;0,G25-$D$9,0)</f>
        <v>0</v>
      </c>
    </row>
    <row r="26" spans="1:9" x14ac:dyDescent="0.35">
      <c r="A26" s="182">
        <f t="shared" si="0"/>
        <v>6</v>
      </c>
      <c r="B26" s="317" t="s">
        <v>598</v>
      </c>
      <c r="C26" s="100"/>
      <c r="D26" s="100"/>
      <c r="E26" s="100"/>
      <c r="F26" s="100"/>
      <c r="G26" s="100"/>
      <c r="H26" s="183">
        <f>SUM(H21:H25)</f>
        <v>111445.75961817428</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111445.75961817428</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scale="45"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pageSetUpPr fitToPage="1"/>
  </sheetPr>
  <dimension ref="A1:D45"/>
  <sheetViews>
    <sheetView workbookViewId="0"/>
  </sheetViews>
  <sheetFormatPr defaultColWidth="9.08984375" defaultRowHeight="14.5" x14ac:dyDescent="0.35"/>
  <cols>
    <col min="1" max="1" width="10.36328125" customWidth="1"/>
    <col min="2" max="2" width="12.6328125" customWidth="1"/>
    <col min="3" max="3" width="48.54296875" customWidth="1"/>
    <col min="4" max="4" width="16.08984375" customWidth="1"/>
  </cols>
  <sheetData>
    <row r="1" spans="1:4" ht="26" x14ac:dyDescent="0.6">
      <c r="A1" s="3" t="s">
        <v>774</v>
      </c>
      <c r="B1" s="3"/>
    </row>
    <row r="2" spans="1:4" ht="21" x14ac:dyDescent="0.5">
      <c r="A2" s="2" t="s">
        <v>772</v>
      </c>
      <c r="B2" s="2"/>
    </row>
    <row r="3" spans="1:4" ht="24.9" customHeight="1" x14ac:dyDescent="0.5">
      <c r="A3" s="5" t="s">
        <v>679</v>
      </c>
    </row>
    <row r="4" spans="1:4" ht="24.9" customHeight="1" x14ac:dyDescent="0.5">
      <c r="A4" s="243" t="str">
        <f>Results!A4</f>
        <v>Final Adjustments</v>
      </c>
    </row>
    <row r="6" spans="1:4" x14ac:dyDescent="0.35">
      <c r="A6" s="1" t="s">
        <v>773</v>
      </c>
      <c r="C6" s="420" t="str">
        <f>Results!$C$6</f>
        <v>Diversus Health</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494" t="str">
        <f>'As-Filed Schedule 1B'!B10</f>
        <v>Indirect costs are allocated based on total direct costs of the various programs, according to the A&amp;A Guidelines.</v>
      </c>
      <c r="C11" s="494"/>
      <c r="D11" s="494"/>
    </row>
    <row r="12" spans="1:4" ht="15" customHeight="1" x14ac:dyDescent="0.35">
      <c r="B12" s="494"/>
      <c r="C12" s="494"/>
      <c r="D12" s="494"/>
    </row>
    <row r="13" spans="1:4" x14ac:dyDescent="0.35">
      <c r="B13" s="494"/>
      <c r="C13" s="494"/>
      <c r="D13" s="494"/>
    </row>
    <row r="14" spans="1:4" x14ac:dyDescent="0.35">
      <c r="B14" s="494"/>
      <c r="C14" s="494"/>
      <c r="D14" s="494"/>
    </row>
    <row r="16" spans="1:4" ht="15" customHeight="1" x14ac:dyDescent="0.35">
      <c r="A16" t="s">
        <v>245</v>
      </c>
      <c r="B16" s="493" t="str">
        <f>'As-Filed Schedule 1B'!B15</f>
        <v>Allocation was based on weight of each program as a % of total direct costs.</v>
      </c>
      <c r="C16" s="493"/>
      <c r="D16" s="493"/>
    </row>
    <row r="17" spans="1:4" ht="15" customHeight="1" x14ac:dyDescent="0.35">
      <c r="B17" s="493"/>
      <c r="C17" s="493"/>
      <c r="D17" s="493"/>
    </row>
    <row r="18" spans="1:4" x14ac:dyDescent="0.35">
      <c r="B18" s="493"/>
      <c r="C18" s="493"/>
      <c r="D18" s="493"/>
    </row>
    <row r="19" spans="1:4" x14ac:dyDescent="0.35">
      <c r="B19" s="493"/>
      <c r="C19" s="493"/>
      <c r="D19" s="493"/>
    </row>
    <row r="21" spans="1:4" ht="15" customHeight="1" x14ac:dyDescent="0.35">
      <c r="A21" t="s">
        <v>246</v>
      </c>
      <c r="B21" s="493">
        <f>'As-Filed Schedule 1B'!B20</f>
        <v>0</v>
      </c>
      <c r="C21" s="493"/>
      <c r="D21" s="493"/>
    </row>
    <row r="22" spans="1:4" ht="15" customHeight="1" x14ac:dyDescent="0.35">
      <c r="B22" s="493"/>
      <c r="C22" s="493"/>
      <c r="D22" s="493"/>
    </row>
    <row r="23" spans="1:4" x14ac:dyDescent="0.35">
      <c r="B23" s="493"/>
      <c r="C23" s="493"/>
      <c r="D23" s="493"/>
    </row>
    <row r="24" spans="1:4" x14ac:dyDescent="0.35">
      <c r="B24" s="493"/>
      <c r="C24" s="493"/>
      <c r="D24" s="493"/>
    </row>
    <row r="26" spans="1:4" ht="15" customHeight="1" x14ac:dyDescent="0.35">
      <c r="A26" t="s">
        <v>247</v>
      </c>
      <c r="B26" s="493">
        <f>'As-Filed Schedule 1B'!B25</f>
        <v>0</v>
      </c>
      <c r="C26" s="493"/>
      <c r="D26" s="493"/>
    </row>
    <row r="27" spans="1:4" ht="15" customHeight="1" x14ac:dyDescent="0.35">
      <c r="B27" s="493"/>
      <c r="C27" s="493"/>
      <c r="D27" s="493"/>
    </row>
    <row r="28" spans="1:4" x14ac:dyDescent="0.35">
      <c r="B28" s="493"/>
      <c r="C28" s="493"/>
      <c r="D28" s="493"/>
    </row>
    <row r="29" spans="1:4" x14ac:dyDescent="0.35">
      <c r="B29" s="493"/>
      <c r="C29" s="493"/>
      <c r="D29" s="493"/>
    </row>
    <row r="31" spans="1:4" ht="15" customHeight="1" x14ac:dyDescent="0.35">
      <c r="A31" t="s">
        <v>248</v>
      </c>
      <c r="B31" s="493">
        <f>'As-Filed Schedule 1B'!B30</f>
        <v>0</v>
      </c>
      <c r="C31" s="493"/>
      <c r="D31" s="493"/>
    </row>
    <row r="32" spans="1:4" ht="15" customHeight="1" x14ac:dyDescent="0.35">
      <c r="B32" s="493"/>
      <c r="C32" s="493"/>
      <c r="D32" s="493"/>
    </row>
    <row r="33" spans="1:4" x14ac:dyDescent="0.35">
      <c r="B33" s="493"/>
      <c r="C33" s="493"/>
      <c r="D33" s="493"/>
    </row>
    <row r="34" spans="1:4" x14ac:dyDescent="0.35">
      <c r="B34" s="493"/>
      <c r="C34" s="493"/>
      <c r="D34" s="493"/>
    </row>
    <row r="36" spans="1:4" x14ac:dyDescent="0.35">
      <c r="A36" t="s">
        <v>205</v>
      </c>
      <c r="D36" s="118" t="str">
        <f>'As-Filed Schedule 1B'!D35</f>
        <v>Yes/No</v>
      </c>
    </row>
    <row r="38" spans="1:4" x14ac:dyDescent="0.35">
      <c r="A38" t="s">
        <v>206</v>
      </c>
    </row>
    <row r="39" spans="1:4" x14ac:dyDescent="0.35">
      <c r="A39" s="493">
        <f>'As-Filed Schedule 1B'!A38</f>
        <v>0</v>
      </c>
      <c r="B39" s="493"/>
      <c r="C39" s="493"/>
      <c r="D39" s="493"/>
    </row>
    <row r="40" spans="1:4" x14ac:dyDescent="0.35">
      <c r="A40" s="493"/>
      <c r="B40" s="493"/>
      <c r="C40" s="493"/>
      <c r="D40" s="493"/>
    </row>
    <row r="41" spans="1:4" x14ac:dyDescent="0.35">
      <c r="A41" s="493"/>
      <c r="B41" s="493"/>
      <c r="C41" s="493"/>
      <c r="D41" s="493"/>
    </row>
    <row r="42" spans="1:4" x14ac:dyDescent="0.35">
      <c r="A42" s="493"/>
      <c r="B42" s="493"/>
      <c r="C42" s="493"/>
      <c r="D42" s="493"/>
    </row>
    <row r="43" spans="1:4" x14ac:dyDescent="0.35">
      <c r="A43" s="493"/>
      <c r="B43" s="493"/>
      <c r="C43" s="493"/>
      <c r="D43" s="493"/>
    </row>
    <row r="44" spans="1:4" x14ac:dyDescent="0.35">
      <c r="A44" s="493"/>
      <c r="B44" s="493"/>
      <c r="C44" s="493"/>
      <c r="D44" s="493"/>
    </row>
    <row r="45" spans="1:4" x14ac:dyDescent="0.35">
      <c r="A45" s="493"/>
      <c r="B45" s="493"/>
      <c r="C45" s="493"/>
      <c r="D45" s="493"/>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pageSetUpPr fitToPage="1"/>
  </sheetPr>
  <dimension ref="A1:X100"/>
  <sheetViews>
    <sheetView workbookViewId="0"/>
  </sheetViews>
  <sheetFormatPr defaultColWidth="9.08984375" defaultRowHeight="14.5" x14ac:dyDescent="0.35"/>
  <cols>
    <col min="1" max="1" width="6.54296875" customWidth="1"/>
    <col min="2" max="2" width="18.453125" customWidth="1"/>
    <col min="3" max="3" width="12.54296875" bestFit="1" customWidth="1"/>
    <col min="4" max="7" width="20.36328125" customWidth="1"/>
    <col min="8" max="8" width="20.90625" style="69" customWidth="1"/>
    <col min="9" max="9" width="36.6328125" customWidth="1"/>
    <col min="11" max="11" width="43.90625" customWidth="1"/>
    <col min="12" max="13" width="32.6328125" customWidth="1"/>
  </cols>
  <sheetData>
    <row r="1" spans="1:24" ht="26" x14ac:dyDescent="0.6">
      <c r="A1" s="3" t="s">
        <v>774</v>
      </c>
      <c r="B1" s="3"/>
      <c r="C1" s="3"/>
    </row>
    <row r="2" spans="1:24" ht="21" x14ac:dyDescent="0.5">
      <c r="A2" s="2" t="s">
        <v>772</v>
      </c>
      <c r="B2" s="2"/>
      <c r="C2" s="2"/>
    </row>
    <row r="3" spans="1:24" ht="24.9" customHeight="1" x14ac:dyDescent="0.5">
      <c r="A3" s="5" t="s">
        <v>680</v>
      </c>
    </row>
    <row r="4" spans="1:24" ht="24.9" customHeight="1" x14ac:dyDescent="0.5">
      <c r="A4" s="243" t="str">
        <f>Results!A4</f>
        <v>Final Adjustments</v>
      </c>
    </row>
    <row r="6" spans="1:24" x14ac:dyDescent="0.35">
      <c r="A6" s="1" t="s">
        <v>773</v>
      </c>
      <c r="C6" s="420" t="str">
        <f>Results!$C$6</f>
        <v>Diversus Health</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496" t="s">
        <v>922</v>
      </c>
      <c r="B10" s="496"/>
      <c r="C10" s="496"/>
      <c r="D10" s="496"/>
      <c r="E10" s="496"/>
      <c r="F10" s="496"/>
      <c r="G10" s="496"/>
      <c r="H10" s="496"/>
      <c r="I10" s="496"/>
      <c r="J10" s="64"/>
      <c r="K10" s="40"/>
      <c r="L10" s="40"/>
      <c r="M10" s="40"/>
      <c r="T10" s="65"/>
      <c r="U10" s="65"/>
      <c r="V10" s="65"/>
      <c r="W10" s="65"/>
      <c r="X10" s="65"/>
    </row>
    <row r="11" spans="1:24" ht="15" customHeight="1" x14ac:dyDescent="0.35">
      <c r="A11" s="496"/>
      <c r="B11" s="496"/>
      <c r="C11" s="496"/>
      <c r="D11" s="496"/>
      <c r="E11" s="496"/>
      <c r="F11" s="496"/>
      <c r="G11" s="496"/>
      <c r="H11" s="496"/>
      <c r="I11" s="496"/>
      <c r="J11" s="64"/>
      <c r="K11" s="40"/>
      <c r="L11" s="40"/>
      <c r="M11" s="40"/>
      <c r="T11" s="65"/>
      <c r="U11" s="65"/>
      <c r="V11" s="65"/>
      <c r="W11" s="65"/>
      <c r="X11" s="65"/>
    </row>
    <row r="12" spans="1:24" x14ac:dyDescent="0.35">
      <c r="A12" s="496"/>
      <c r="B12" s="496"/>
      <c r="C12" s="496"/>
      <c r="D12" s="496"/>
      <c r="E12" s="496"/>
      <c r="F12" s="496"/>
      <c r="G12" s="496"/>
      <c r="H12" s="496"/>
      <c r="I12" s="496"/>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497">
        <v>1</v>
      </c>
      <c r="C14" s="497"/>
      <c r="D14" s="175">
        <v>2</v>
      </c>
      <c r="E14" s="175">
        <v>3</v>
      </c>
      <c r="F14" s="175">
        <v>4</v>
      </c>
      <c r="G14" s="175">
        <v>5</v>
      </c>
      <c r="H14" s="175">
        <v>6</v>
      </c>
      <c r="I14" s="175">
        <v>7</v>
      </c>
      <c r="J14" s="64"/>
      <c r="T14" s="65"/>
      <c r="U14" s="65"/>
      <c r="V14" s="65"/>
      <c r="W14" s="65"/>
      <c r="X14" s="65"/>
    </row>
    <row r="15" spans="1:24" s="4" customFormat="1" ht="72.5" x14ac:dyDescent="0.35">
      <c r="A15" s="191"/>
      <c r="B15" s="492" t="s">
        <v>591</v>
      </c>
      <c r="C15" s="498"/>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487" t="str">
        <f>'Schedule 1C Adjustments'!B15:C15</f>
        <v>Rent</v>
      </c>
      <c r="C16" s="487"/>
      <c r="D16" s="180">
        <f>'Schedule 1C Adjustments'!F15</f>
        <v>448263.08</v>
      </c>
      <c r="E16" s="180">
        <f>'Schedule 1C Adjustments'!I15</f>
        <v>448263.08</v>
      </c>
      <c r="F16" s="194">
        <f>IF(D16-E16&lt;0,0,D16-E16)</f>
        <v>0</v>
      </c>
      <c r="G16" s="195">
        <f>'Schedule 1C Adjustments'!L15</f>
        <v>3</v>
      </c>
      <c r="H16" s="178">
        <f>'Schedule 1C Adjustments'!M15</f>
        <v>6505</v>
      </c>
      <c r="I16" s="196" t="str">
        <f>'Schedule 1C Adjustments'!N15</f>
        <v>Diversus Health Properties</v>
      </c>
      <c r="J16" s="66"/>
      <c r="T16" s="67"/>
      <c r="U16" s="67"/>
      <c r="V16" s="67"/>
      <c r="W16" s="67"/>
      <c r="X16" s="67"/>
    </row>
    <row r="17" spans="1:24" s="4" customFormat="1" ht="15" customHeight="1" x14ac:dyDescent="0.35">
      <c r="A17" s="182">
        <f>A16+1</f>
        <v>2</v>
      </c>
      <c r="B17" s="487" t="str">
        <f>'Schedule 1C Adjustments'!B16:C16</f>
        <v>Triple Net (NNN)</v>
      </c>
      <c r="C17" s="487"/>
      <c r="D17" s="180">
        <f>'Schedule 1C Adjustments'!F16</f>
        <v>2939316.55</v>
      </c>
      <c r="E17" s="180">
        <f>'Schedule 1C Adjustments'!I16</f>
        <v>2939316.55</v>
      </c>
      <c r="F17" s="194">
        <f t="shared" ref="F17:F25" si="0">IF(D17-E17&lt;0,0,D17-E17)</f>
        <v>0</v>
      </c>
      <c r="G17" s="195">
        <f>'Schedule 1C Adjustments'!L16</f>
        <v>3</v>
      </c>
      <c r="H17" s="178">
        <f>'Schedule 1C Adjustments'!M16</f>
        <v>6540</v>
      </c>
      <c r="I17" s="196" t="str">
        <f>'Schedule 1C Adjustments'!N16</f>
        <v>Diversus Health Properties</v>
      </c>
      <c r="J17" s="142"/>
      <c r="T17" s="67"/>
      <c r="U17" s="67"/>
      <c r="V17" s="67"/>
      <c r="W17" s="67"/>
      <c r="X17" s="67"/>
    </row>
    <row r="18" spans="1:24" s="4" customFormat="1" ht="15" customHeight="1" x14ac:dyDescent="0.35">
      <c r="A18" s="182">
        <f t="shared" ref="A18:A31" si="1">A17+1</f>
        <v>3</v>
      </c>
      <c r="B18" s="487" t="str">
        <f>'Schedule 1C Adjustments'!B17:C17</f>
        <v/>
      </c>
      <c r="C18" s="487"/>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487" t="str">
        <f>'Schedule 1C Adjustments'!B18:C18</f>
        <v/>
      </c>
      <c r="C19" s="487"/>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487" t="str">
        <f>'Schedule 1C Adjustments'!B19:C19</f>
        <v/>
      </c>
      <c r="C20" s="487"/>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487" t="str">
        <f>'Schedule 1C Adjustments'!B20:C20</f>
        <v/>
      </c>
      <c r="C21" s="487"/>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487" t="str">
        <f>'Schedule 1C Adjustments'!B21:C21</f>
        <v/>
      </c>
      <c r="C22" s="487"/>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487" t="str">
        <f>'Schedule 1C Adjustments'!B22:C22</f>
        <v/>
      </c>
      <c r="C23" s="487"/>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487" t="str">
        <f>'Schedule 1C Adjustments'!B23:C23</f>
        <v/>
      </c>
      <c r="C24" s="487"/>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487" t="str">
        <f>'Schedule 1C Adjustments'!B24:C24</f>
        <v/>
      </c>
      <c r="C25" s="487"/>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7" t="s">
        <v>598</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495" t="s">
        <v>923</v>
      </c>
      <c r="B35" s="495"/>
      <c r="C35" s="495"/>
      <c r="D35" s="495"/>
      <c r="E35" s="495"/>
      <c r="F35" s="495"/>
      <c r="G35" s="495"/>
      <c r="H35" s="495"/>
      <c r="I35" s="495"/>
      <c r="J35" s="64"/>
      <c r="T35" s="65"/>
      <c r="U35" s="65"/>
      <c r="V35" s="65"/>
      <c r="W35" s="65"/>
      <c r="X35" s="65"/>
    </row>
    <row r="36" spans="1:24" x14ac:dyDescent="0.35">
      <c r="A36" s="495"/>
      <c r="B36" s="495"/>
      <c r="C36" s="495"/>
      <c r="D36" s="495"/>
      <c r="E36" s="495"/>
      <c r="F36" s="495"/>
      <c r="G36" s="495"/>
      <c r="H36" s="495"/>
      <c r="I36" s="495"/>
      <c r="J36" s="64"/>
      <c r="T36" s="65"/>
      <c r="U36" s="65"/>
      <c r="V36" s="65"/>
      <c r="W36" s="65"/>
      <c r="X36" s="65"/>
    </row>
    <row r="37" spans="1:24" x14ac:dyDescent="0.35">
      <c r="A37" s="495"/>
      <c r="B37" s="495"/>
      <c r="C37" s="495"/>
      <c r="D37" s="495"/>
      <c r="E37" s="495"/>
      <c r="F37" s="495"/>
      <c r="G37" s="495"/>
      <c r="H37" s="495"/>
      <c r="I37" s="495"/>
      <c r="J37" s="64"/>
      <c r="T37" s="65"/>
      <c r="U37" s="65"/>
      <c r="V37" s="65"/>
      <c r="W37" s="65"/>
      <c r="X37" s="65"/>
    </row>
    <row r="38" spans="1:24" x14ac:dyDescent="0.35">
      <c r="A38" s="495"/>
      <c r="B38" s="495"/>
      <c r="C38" s="495"/>
      <c r="D38" s="495"/>
      <c r="E38" s="495"/>
      <c r="F38" s="495"/>
      <c r="G38" s="495"/>
      <c r="H38" s="495"/>
      <c r="I38" s="495"/>
      <c r="J38" s="64"/>
      <c r="T38" s="65"/>
      <c r="U38" s="65"/>
      <c r="V38" s="65"/>
      <c r="W38" s="65"/>
      <c r="X38" s="65"/>
    </row>
    <row r="39" spans="1:24" x14ac:dyDescent="0.35">
      <c r="A39" s="495"/>
      <c r="B39" s="495"/>
      <c r="C39" s="495"/>
      <c r="D39" s="495"/>
      <c r="E39" s="495"/>
      <c r="F39" s="495"/>
      <c r="G39" s="495"/>
      <c r="H39" s="495"/>
      <c r="I39" s="495"/>
      <c r="J39" s="64"/>
      <c r="T39" s="65"/>
      <c r="U39" s="65"/>
      <c r="V39" s="65"/>
      <c r="W39" s="65"/>
      <c r="X39" s="65"/>
    </row>
    <row r="40" spans="1:24" x14ac:dyDescent="0.35">
      <c r="A40" s="495"/>
      <c r="B40" s="495"/>
      <c r="C40" s="495"/>
      <c r="D40" s="495"/>
      <c r="E40" s="495"/>
      <c r="F40" s="495"/>
      <c r="G40" s="495"/>
      <c r="H40" s="495"/>
      <c r="I40" s="495"/>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scale="51" fitToHeight="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pageSetUpPr fitToPage="1"/>
  </sheetPr>
  <dimension ref="A1:K39"/>
  <sheetViews>
    <sheetView workbookViewId="0"/>
  </sheetViews>
  <sheetFormatPr defaultColWidth="9.08984375" defaultRowHeight="14.5" x14ac:dyDescent="0.35"/>
  <cols>
    <col min="1" max="1" width="4" customWidth="1"/>
    <col min="2" max="2" width="23.36328125" customWidth="1"/>
    <col min="3" max="3" width="34" customWidth="1"/>
    <col min="4" max="4" width="19.453125" customWidth="1"/>
    <col min="5" max="9" width="18.453125" customWidth="1"/>
    <col min="10" max="10" width="9.453125" customWidth="1"/>
    <col min="11" max="11" width="36.08984375" bestFit="1" customWidth="1"/>
  </cols>
  <sheetData>
    <row r="1" spans="1:10" ht="26" x14ac:dyDescent="0.6">
      <c r="A1" s="3" t="s">
        <v>774</v>
      </c>
    </row>
    <row r="2" spans="1:10" ht="21" x14ac:dyDescent="0.5">
      <c r="A2" s="2" t="s">
        <v>772</v>
      </c>
    </row>
    <row r="3" spans="1:10" ht="24.9" customHeight="1" x14ac:dyDescent="0.5">
      <c r="A3" s="488" t="s">
        <v>681</v>
      </c>
      <c r="B3" s="488"/>
      <c r="C3" s="488"/>
      <c r="D3" s="488"/>
      <c r="E3" s="488"/>
      <c r="F3" s="488"/>
      <c r="G3" s="488"/>
      <c r="H3" s="488"/>
      <c r="I3" s="488"/>
      <c r="J3" s="488"/>
    </row>
    <row r="4" spans="1:10" ht="24.9" customHeight="1" x14ac:dyDescent="0.5">
      <c r="A4" s="243" t="str">
        <f>Results!A4</f>
        <v>Final Adjustments</v>
      </c>
      <c r="B4" s="360"/>
      <c r="C4" s="360"/>
      <c r="D4" s="360"/>
      <c r="E4" s="360"/>
      <c r="F4" s="360"/>
      <c r="G4" s="360"/>
      <c r="H4" s="360"/>
      <c r="I4" s="360"/>
      <c r="J4" s="360"/>
    </row>
    <row r="6" spans="1:10" x14ac:dyDescent="0.35">
      <c r="A6" s="1" t="s">
        <v>773</v>
      </c>
      <c r="C6" s="420" t="str">
        <f>Results!$C$6</f>
        <v>Diversus Health</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02">
        <v>1</v>
      </c>
      <c r="C11" s="502"/>
      <c r="D11" s="23">
        <v>2</v>
      </c>
      <c r="E11" s="23">
        <v>3</v>
      </c>
      <c r="F11" s="23">
        <v>4</v>
      </c>
      <c r="G11" s="23">
        <v>5</v>
      </c>
      <c r="H11" s="23">
        <v>6</v>
      </c>
      <c r="I11" s="23">
        <v>7</v>
      </c>
    </row>
    <row r="12" spans="1:10" x14ac:dyDescent="0.35">
      <c r="B12" s="503" t="s">
        <v>178</v>
      </c>
      <c r="C12" s="503"/>
      <c r="D12" s="504" t="s">
        <v>180</v>
      </c>
      <c r="E12" s="505" t="s">
        <v>207</v>
      </c>
      <c r="F12" s="506"/>
      <c r="G12" s="505" t="s">
        <v>210</v>
      </c>
      <c r="H12" s="506"/>
      <c r="I12" s="503" t="s">
        <v>218</v>
      </c>
    </row>
    <row r="13" spans="1:10" ht="30" customHeight="1" x14ac:dyDescent="0.35">
      <c r="B13" s="503"/>
      <c r="C13" s="503"/>
      <c r="D13" s="504"/>
      <c r="E13" s="10" t="s">
        <v>687</v>
      </c>
      <c r="F13" s="10" t="s">
        <v>688</v>
      </c>
      <c r="G13" s="10" t="s">
        <v>687</v>
      </c>
      <c r="H13" s="10" t="s">
        <v>688</v>
      </c>
      <c r="I13" s="503"/>
    </row>
    <row r="14" spans="1:10" x14ac:dyDescent="0.35">
      <c r="A14" s="424" t="s">
        <v>838</v>
      </c>
      <c r="B14" s="204"/>
      <c r="C14" s="204"/>
      <c r="D14" s="204"/>
      <c r="E14" s="204"/>
      <c r="F14" s="204"/>
      <c r="G14" s="204"/>
      <c r="H14" s="204"/>
      <c r="I14" s="204"/>
    </row>
    <row r="15" spans="1:10" x14ac:dyDescent="0.35">
      <c r="A15" s="24">
        <v>1</v>
      </c>
      <c r="B15" s="499" t="s">
        <v>211</v>
      </c>
      <c r="C15" s="499"/>
      <c r="D15" s="24" t="s">
        <v>12</v>
      </c>
      <c r="E15" s="26">
        <f>'Adjusted Schedule 2A'!F74</f>
        <v>3189973.6069380082</v>
      </c>
      <c r="F15" s="26">
        <f>'Adjusted Schedule 2A'!G74</f>
        <v>1435327.6033159853</v>
      </c>
      <c r="G15" s="26">
        <f>'Adjusted Schedule 2A'!J74</f>
        <v>245735.70928738636</v>
      </c>
      <c r="H15" s="26">
        <f>'Adjusted Schedule 2A'!K74</f>
        <v>110568.70373268651</v>
      </c>
      <c r="I15" s="68">
        <f>SUM(E15:H15)</f>
        <v>4981605.6232740656</v>
      </c>
    </row>
    <row r="16" spans="1:10" x14ac:dyDescent="0.35">
      <c r="A16" s="24">
        <v>2</v>
      </c>
      <c r="B16" s="499" t="s">
        <v>213</v>
      </c>
      <c r="C16" s="499"/>
      <c r="D16" s="24" t="s">
        <v>13</v>
      </c>
      <c r="E16" s="26">
        <f>'Adjusted Schedule 2B'!$F$74</f>
        <v>2761536.2936235201</v>
      </c>
      <c r="F16" s="26">
        <f>'Adjusted Schedule 2B'!G74</f>
        <v>1242552.3713349598</v>
      </c>
      <c r="G16" s="26">
        <f>'Adjusted Schedule 2B'!$J$74</f>
        <v>369791.15939029283</v>
      </c>
      <c r="H16" s="26">
        <f>'Adjusted Schedule 2B'!K74</f>
        <v>166387.41379574782</v>
      </c>
      <c r="I16" s="68">
        <f>SUM(E16:H16)</f>
        <v>4540267.2381445207</v>
      </c>
    </row>
    <row r="17" spans="1:11" x14ac:dyDescent="0.35">
      <c r="A17" s="24">
        <v>3</v>
      </c>
      <c r="B17" s="499" t="s">
        <v>201</v>
      </c>
      <c r="C17" s="499"/>
      <c r="D17" s="24" t="s">
        <v>14</v>
      </c>
      <c r="E17" s="26">
        <f>'Adjusted Schedule 2C'!$F$74</f>
        <v>15089308.044402834</v>
      </c>
      <c r="F17" s="26">
        <f>'Adjusted Schedule 2C'!G74</f>
        <v>6789429.3244195571</v>
      </c>
      <c r="G17" s="26">
        <f>'Adjusted Schedule 2C'!$J$74</f>
        <v>1243017.581092068</v>
      </c>
      <c r="H17" s="26">
        <f>'Adjusted Schedule 2C'!K74</f>
        <v>559295.36271651764</v>
      </c>
      <c r="I17" s="68">
        <f>SUM(E17:H17)</f>
        <v>23681050.312630977</v>
      </c>
      <c r="K17" s="48"/>
    </row>
    <row r="18" spans="1:11" x14ac:dyDescent="0.35">
      <c r="A18" s="24">
        <v>4</v>
      </c>
      <c r="B18" s="499" t="s">
        <v>212</v>
      </c>
      <c r="C18" s="499"/>
      <c r="D18" s="24" t="s">
        <v>179</v>
      </c>
      <c r="E18" s="26">
        <f>'Adjusted Schedule 2D'!$F$74</f>
        <v>3813726.4345409581</v>
      </c>
      <c r="F18" s="26">
        <f>'Adjusted Schedule 2D'!G74</f>
        <v>1715984.9884296765</v>
      </c>
      <c r="G18" s="26">
        <f>'Adjusted Schedule 2D'!$J$74</f>
        <v>216518.95283484389</v>
      </c>
      <c r="H18" s="26">
        <f>'Adjusted Schedule 2D'!K74</f>
        <v>97422.633519288167</v>
      </c>
      <c r="I18" s="68">
        <f>SUM(E18:H18)</f>
        <v>5843653.0093247667</v>
      </c>
    </row>
    <row r="19" spans="1:11" x14ac:dyDescent="0.35">
      <c r="A19" s="424" t="s">
        <v>791</v>
      </c>
      <c r="B19" s="204"/>
      <c r="C19" s="204"/>
      <c r="D19" s="204"/>
      <c r="E19" s="204"/>
      <c r="F19" s="204"/>
      <c r="G19" s="204"/>
      <c r="H19" s="204"/>
      <c r="I19" s="204"/>
      <c r="J19" s="100"/>
      <c r="K19" s="48"/>
    </row>
    <row r="20" spans="1:11" x14ac:dyDescent="0.35">
      <c r="A20" s="155">
        <v>5</v>
      </c>
      <c r="B20" s="500" t="s">
        <v>792</v>
      </c>
      <c r="C20" s="500"/>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00" t="s">
        <v>794</v>
      </c>
      <c r="C21" s="500"/>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00" t="s">
        <v>796</v>
      </c>
      <c r="C22" s="500"/>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00" t="s">
        <v>798</v>
      </c>
      <c r="C23" s="500"/>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00" t="s">
        <v>800</v>
      </c>
      <c r="C24" s="500"/>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00" t="s">
        <v>802</v>
      </c>
      <c r="C25" s="500"/>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00" t="s">
        <v>804</v>
      </c>
      <c r="C26" s="500"/>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00" t="s">
        <v>806</v>
      </c>
      <c r="C27" s="500"/>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01" t="s">
        <v>808</v>
      </c>
      <c r="C28" s="501"/>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24854544.379505321</v>
      </c>
      <c r="F29" s="18">
        <f t="shared" ref="F29:H29" si="1">SUM(F15:F28)</f>
        <v>11183294.287500178</v>
      </c>
      <c r="G29" s="18">
        <f>SUM(G15:G28)</f>
        <v>2075063.4026045911</v>
      </c>
      <c r="H29" s="18">
        <f t="shared" si="1"/>
        <v>933674.11376424017</v>
      </c>
    </row>
    <row r="30" spans="1:11" s="57" customFormat="1" ht="12" x14ac:dyDescent="0.3">
      <c r="D30" s="76" t="s">
        <v>216</v>
      </c>
      <c r="E30" s="58">
        <f>'Adjusted Schedule 1'!F92</f>
        <v>24854544.379505318</v>
      </c>
      <c r="G30" s="58">
        <f>'Adjusted Schedule 1'!H92</f>
        <v>2075063.4026045909</v>
      </c>
    </row>
    <row r="31" spans="1:11" s="57" customFormat="1" ht="12" x14ac:dyDescent="0.3">
      <c r="D31" s="76" t="s">
        <v>10</v>
      </c>
      <c r="E31" s="59">
        <f>E29-E30</f>
        <v>0</v>
      </c>
      <c r="G31" s="59">
        <f>G29-G30</f>
        <v>0</v>
      </c>
    </row>
    <row r="32" spans="1:11" s="57" customFormat="1" ht="12" x14ac:dyDescent="0.3">
      <c r="D32" s="76"/>
      <c r="E32" s="59"/>
      <c r="G32" s="59"/>
    </row>
    <row r="34" spans="1:10" x14ac:dyDescent="0.35">
      <c r="E34" s="10" t="s">
        <v>218</v>
      </c>
    </row>
    <row r="35" spans="1:10" x14ac:dyDescent="0.35">
      <c r="A35" s="24">
        <v>6</v>
      </c>
      <c r="B35" s="499" t="s">
        <v>219</v>
      </c>
      <c r="C35" s="499"/>
      <c r="D35" s="24" t="s">
        <v>110</v>
      </c>
      <c r="E35" s="26">
        <f>'Adjusted Schedule 3'!M168</f>
        <v>5773346.1970490608</v>
      </c>
      <c r="I35" s="18">
        <f>SUM(I15:I28)+E35</f>
        <v>44819922.380423389</v>
      </c>
      <c r="J35" s="71" t="s">
        <v>3</v>
      </c>
    </row>
    <row r="36" spans="1:10" ht="12.75" customHeight="1" x14ac:dyDescent="0.35">
      <c r="D36" s="76" t="s">
        <v>217</v>
      </c>
      <c r="E36" s="58">
        <f>'Adjusted Schedule 1'!G96</f>
        <v>5773346.1970490608</v>
      </c>
    </row>
    <row r="37" spans="1:10" ht="12.75" customHeight="1" x14ac:dyDescent="0.35">
      <c r="D37" s="76" t="s">
        <v>10</v>
      </c>
      <c r="E37" s="59">
        <f>E35-E36</f>
        <v>0</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scale="49" fitToHeight="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pageSetUpPr fitToPage="1"/>
  </sheetPr>
  <dimension ref="A1:S76"/>
  <sheetViews>
    <sheetView workbookViewId="0"/>
  </sheetViews>
  <sheetFormatPr defaultColWidth="9.08984375" defaultRowHeight="14.5" x14ac:dyDescent="0.35"/>
  <cols>
    <col min="1" max="1" width="9.6328125" customWidth="1"/>
    <col min="2" max="2" width="16" customWidth="1"/>
    <col min="3" max="3" width="19.453125" customWidth="1"/>
    <col min="4" max="4" width="15.453125" customWidth="1"/>
    <col min="5" max="5" width="2.36328125" customWidth="1"/>
    <col min="6" max="8" width="18.54296875" customWidth="1"/>
    <col min="9" max="9" width="2.6328125" customWidth="1"/>
    <col min="10" max="12" width="18.54296875" customWidth="1"/>
    <col min="13" max="13" width="2.6328125" customWidth="1"/>
    <col min="14" max="15" width="12.08984375" customWidth="1"/>
    <col min="16" max="16" width="24.54296875" customWidth="1"/>
  </cols>
  <sheetData>
    <row r="1" spans="1:19" ht="26" x14ac:dyDescent="0.6">
      <c r="A1" s="3" t="s">
        <v>774</v>
      </c>
    </row>
    <row r="2" spans="1:19" ht="21" x14ac:dyDescent="0.5">
      <c r="A2" s="2" t="s">
        <v>772</v>
      </c>
    </row>
    <row r="3" spans="1:19" ht="24.9" customHeight="1" x14ac:dyDescent="0.5">
      <c r="A3" s="488" t="s">
        <v>682</v>
      </c>
      <c r="B3" s="488"/>
      <c r="C3" s="488"/>
      <c r="D3" s="488"/>
      <c r="E3" s="488"/>
      <c r="F3" s="488"/>
    </row>
    <row r="4" spans="1:19" ht="24.9" customHeight="1" x14ac:dyDescent="0.5">
      <c r="A4" s="243" t="str">
        <f>Results!A4</f>
        <v>Final Adjustments</v>
      </c>
      <c r="B4" s="360"/>
      <c r="C4" s="360"/>
      <c r="D4" s="360"/>
      <c r="E4" s="360"/>
      <c r="F4" s="360"/>
    </row>
    <row r="5" spans="1:19" x14ac:dyDescent="0.35">
      <c r="A5" s="48"/>
    </row>
    <row r="6" spans="1:19" x14ac:dyDescent="0.35">
      <c r="A6" s="1" t="s">
        <v>773</v>
      </c>
      <c r="C6" s="420" t="str">
        <f>Results!$C$6</f>
        <v>Diversus Health</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7" t="s">
        <v>598</v>
      </c>
      <c r="C12" s="1"/>
      <c r="N12" s="40"/>
      <c r="O12" s="40"/>
      <c r="P12" s="40"/>
    </row>
    <row r="13" spans="1:19" x14ac:dyDescent="0.35">
      <c r="B13" s="502">
        <v>1</v>
      </c>
      <c r="C13" s="502"/>
      <c r="D13" s="502"/>
      <c r="F13" s="23">
        <v>2</v>
      </c>
      <c r="G13" s="23">
        <v>3</v>
      </c>
      <c r="H13" s="23">
        <v>4</v>
      </c>
      <c r="J13" s="23">
        <v>5</v>
      </c>
      <c r="K13" s="23">
        <v>6</v>
      </c>
      <c r="L13" s="23">
        <v>7</v>
      </c>
      <c r="N13" s="23">
        <v>8</v>
      </c>
      <c r="O13" s="23">
        <v>9</v>
      </c>
      <c r="Q13" s="40"/>
      <c r="R13" s="40"/>
      <c r="S13" s="40"/>
    </row>
    <row r="14" spans="1:19" x14ac:dyDescent="0.35">
      <c r="B14" s="511" t="s">
        <v>612</v>
      </c>
      <c r="C14" s="512"/>
      <c r="D14" s="513"/>
      <c r="F14" s="505" t="s">
        <v>261</v>
      </c>
      <c r="G14" s="510"/>
      <c r="H14" s="506"/>
      <c r="J14" s="505" t="s">
        <v>262</v>
      </c>
      <c r="K14" s="510"/>
      <c r="L14" s="506"/>
      <c r="N14" s="508" t="s">
        <v>692</v>
      </c>
      <c r="O14" s="508" t="s">
        <v>693</v>
      </c>
      <c r="Q14" s="40"/>
      <c r="R14" s="40"/>
      <c r="S14" s="40"/>
    </row>
    <row r="15" spans="1:19" ht="56.25" customHeight="1" x14ac:dyDescent="0.35">
      <c r="B15" s="514"/>
      <c r="C15" s="515"/>
      <c r="D15" s="516"/>
      <c r="F15" s="10" t="s">
        <v>689</v>
      </c>
      <c r="G15" s="151" t="s">
        <v>690</v>
      </c>
      <c r="H15" s="151" t="s">
        <v>691</v>
      </c>
      <c r="I15" s="100"/>
      <c r="J15" s="10" t="s">
        <v>689</v>
      </c>
      <c r="K15" s="151" t="s">
        <v>690</v>
      </c>
      <c r="L15" s="151" t="s">
        <v>691</v>
      </c>
      <c r="N15" s="509"/>
      <c r="O15" s="509"/>
    </row>
    <row r="16" spans="1:19" x14ac:dyDescent="0.35">
      <c r="A16" s="24">
        <v>1</v>
      </c>
      <c r="B16" s="507" t="str">
        <f>'Schedule 2A Adjustments'!B15:D15</f>
        <v>5040 - LTHS CRISIS WALK-IN</v>
      </c>
      <c r="C16" s="507"/>
      <c r="D16" s="507"/>
      <c r="F16" s="117">
        <f>'Schedule 2A Adjustments'!H15</f>
        <v>2528777.6656233161</v>
      </c>
      <c r="G16" s="68">
        <f>'Schedule 2A Adjustments'!J15</f>
        <v>1137822.7011734152</v>
      </c>
      <c r="H16" s="68">
        <f>SUM(F16:G16)</f>
        <v>3666600.366796731</v>
      </c>
      <c r="J16" s="117">
        <f>'Schedule 2A Adjustments'!P15</f>
        <v>226.28</v>
      </c>
      <c r="K16" s="68">
        <f>'Schedule 2A Adjustments'!R15</f>
        <v>101.81461356669239</v>
      </c>
      <c r="L16" s="68">
        <f>SUM(J16:K16)</f>
        <v>328.09461356669237</v>
      </c>
      <c r="N16" s="120">
        <f>'Schedule 2A Adjustments'!X15</f>
        <v>15.909166666666652</v>
      </c>
      <c r="O16" s="120">
        <f>'Schedule 2A Adjustments'!AA15</f>
        <v>2045</v>
      </c>
    </row>
    <row r="17" spans="1:15" x14ac:dyDescent="0.35">
      <c r="A17" s="24">
        <v>2</v>
      </c>
      <c r="B17" s="507" t="str">
        <f>'Schedule 2A Adjustments'!B16:D16</f>
        <v>5080 - LTHS RELIEF UNIT</v>
      </c>
      <c r="C17" s="507"/>
      <c r="D17" s="507"/>
      <c r="F17" s="117">
        <f>'Schedule 2A Adjustments'!H16</f>
        <v>661195.94131469203</v>
      </c>
      <c r="G17" s="68">
        <f>'Schedule 2A Adjustments'!J16</f>
        <v>297504.90214257024</v>
      </c>
      <c r="H17" s="68">
        <f t="shared" ref="H17:H73" si="0">SUM(F17:G17)</f>
        <v>958700.84345726226</v>
      </c>
      <c r="J17" s="117">
        <f>'Schedule 2A Adjustments'!P16</f>
        <v>0</v>
      </c>
      <c r="K17" s="68">
        <f>'Schedule 2A Adjustments'!R16</f>
        <v>0</v>
      </c>
      <c r="L17" s="68">
        <f t="shared" ref="L17:L73" si="1">SUM(J17:K17)</f>
        <v>0</v>
      </c>
      <c r="N17" s="120">
        <f>'Schedule 2A Adjustments'!X16</f>
        <v>4.4974999999999978</v>
      </c>
      <c r="O17" s="120">
        <f>'Schedule 2A Adjustments'!AA16</f>
        <v>822</v>
      </c>
    </row>
    <row r="18" spans="1:15" x14ac:dyDescent="0.35">
      <c r="A18" s="24">
        <v>3</v>
      </c>
      <c r="B18" s="507" t="str">
        <f>'Schedule 2A Adjustments'!B17:D17</f>
        <v>5060 - LTHS MEDCAP LIAISON</v>
      </c>
      <c r="C18" s="507"/>
      <c r="D18" s="507"/>
      <c r="F18" s="117">
        <f>'Schedule 2A Adjustments'!H17</f>
        <v>0</v>
      </c>
      <c r="G18" s="68">
        <f>'Schedule 2A Adjustments'!J17</f>
        <v>0</v>
      </c>
      <c r="H18" s="68">
        <f t="shared" si="0"/>
        <v>0</v>
      </c>
      <c r="J18" s="117">
        <f>'Schedule 2A Adjustments'!P17</f>
        <v>245509.42928738636</v>
      </c>
      <c r="K18" s="68">
        <f>'Schedule 2A Adjustments'!R17</f>
        <v>110466.88911911982</v>
      </c>
      <c r="L18" s="68">
        <f t="shared" si="1"/>
        <v>355976.31840650621</v>
      </c>
      <c r="N18" s="120">
        <f>'Schedule 2A Adjustments'!X17</f>
        <v>1.7333333333333336</v>
      </c>
      <c r="O18" s="120">
        <f>'Schedule 2A Adjustments'!AA17</f>
        <v>0</v>
      </c>
    </row>
    <row r="19" spans="1:15" x14ac:dyDescent="0.35">
      <c r="A19" s="24">
        <v>4</v>
      </c>
      <c r="B19" s="507" t="str">
        <f>'Schedule 2A Adjustments'!B18:D18</f>
        <v/>
      </c>
      <c r="C19" s="507"/>
      <c r="D19" s="507"/>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07" t="str">
        <f>'Schedule 2A Adjustments'!B19:D19</f>
        <v/>
      </c>
      <c r="C20" s="507"/>
      <c r="D20" s="507"/>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07" t="str">
        <f>'Schedule 2A Adjustments'!B20:D20</f>
        <v/>
      </c>
      <c r="C21" s="507"/>
      <c r="D21" s="507"/>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07" t="str">
        <f>'Schedule 2A Adjustments'!B21:D21</f>
        <v/>
      </c>
      <c r="C22" s="507"/>
      <c r="D22" s="507"/>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07" t="str">
        <f>'Schedule 2A Adjustments'!B22:D22</f>
        <v/>
      </c>
      <c r="C23" s="507"/>
      <c r="D23" s="507"/>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07" t="str">
        <f>'Schedule 2A Adjustments'!B23:D23</f>
        <v/>
      </c>
      <c r="C24" s="507"/>
      <c r="D24" s="507"/>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07" t="str">
        <f>'Schedule 2A Adjustments'!B24:D24</f>
        <v/>
      </c>
      <c r="C25" s="507"/>
      <c r="D25" s="507"/>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07" t="str">
        <f>'Schedule 2A Adjustments'!B25:D25</f>
        <v/>
      </c>
      <c r="C26" s="507"/>
      <c r="D26" s="507"/>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07" t="str">
        <f>'Schedule 2A Adjustments'!B26:D26</f>
        <v/>
      </c>
      <c r="C27" s="507"/>
      <c r="D27" s="507"/>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07" t="str">
        <f>'Schedule 2A Adjustments'!B27:D27</f>
        <v/>
      </c>
      <c r="C28" s="507"/>
      <c r="D28" s="507"/>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07" t="str">
        <f>'Schedule 2A Adjustments'!B28:D28</f>
        <v/>
      </c>
      <c r="C29" s="507"/>
      <c r="D29" s="507"/>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07" t="str">
        <f>'Schedule 2A Adjustments'!B29:D29</f>
        <v/>
      </c>
      <c r="C30" s="507"/>
      <c r="D30" s="507"/>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07" t="str">
        <f>'Schedule 2A Adjustments'!B30:D30</f>
        <v/>
      </c>
      <c r="C31" s="507"/>
      <c r="D31" s="507"/>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07" t="str">
        <f>'Schedule 2A Adjustments'!B31:D31</f>
        <v/>
      </c>
      <c r="C32" s="507"/>
      <c r="D32" s="507"/>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07" t="str">
        <f>'Schedule 2A Adjustments'!B32:D32</f>
        <v/>
      </c>
      <c r="C33" s="507"/>
      <c r="D33" s="507"/>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07" t="str">
        <f>'Schedule 2A Adjustments'!B33:D33</f>
        <v/>
      </c>
      <c r="C34" s="507"/>
      <c r="D34" s="507"/>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07" t="str">
        <f>'Schedule 2A Adjustments'!B34:D34</f>
        <v/>
      </c>
      <c r="C35" s="507"/>
      <c r="D35" s="507"/>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07" t="str">
        <f>'Schedule 2A Adjustments'!B35:D35</f>
        <v/>
      </c>
      <c r="C36" s="507"/>
      <c r="D36" s="507"/>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07" t="str">
        <f>'Schedule 2A Adjustments'!B36:D36</f>
        <v/>
      </c>
      <c r="C37" s="507"/>
      <c r="D37" s="507"/>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07" t="str">
        <f>'Schedule 2A Adjustments'!B37:D37</f>
        <v/>
      </c>
      <c r="C38" s="507"/>
      <c r="D38" s="507"/>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07" t="str">
        <f>'Schedule 2A Adjustments'!B38:D38</f>
        <v/>
      </c>
      <c r="C39" s="507"/>
      <c r="D39" s="507"/>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07" t="str">
        <f>'Schedule 2A Adjustments'!B39:D39</f>
        <v/>
      </c>
      <c r="C40" s="507"/>
      <c r="D40" s="507"/>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07" t="str">
        <f>'Schedule 2A Adjustments'!B40:D40</f>
        <v/>
      </c>
      <c r="C41" s="507"/>
      <c r="D41" s="507"/>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07" t="str">
        <f>'Schedule 2A Adjustments'!B41:D41</f>
        <v/>
      </c>
      <c r="C42" s="507"/>
      <c r="D42" s="507"/>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07" t="str">
        <f>'Schedule 2A Adjustments'!B42:D42</f>
        <v/>
      </c>
      <c r="C43" s="507"/>
      <c r="D43" s="507"/>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07" t="str">
        <f>'Schedule 2A Adjustments'!B43:D43</f>
        <v/>
      </c>
      <c r="C44" s="507"/>
      <c r="D44" s="507"/>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07" t="str">
        <f>'Schedule 2A Adjustments'!B44:D44</f>
        <v/>
      </c>
      <c r="C45" s="507"/>
      <c r="D45" s="507"/>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07" t="str">
        <f>'Schedule 2A Adjustments'!B45:D45</f>
        <v/>
      </c>
      <c r="C46" s="507"/>
      <c r="D46" s="507"/>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07" t="str">
        <f>'Schedule 2A Adjustments'!B46:D46</f>
        <v/>
      </c>
      <c r="C47" s="507"/>
      <c r="D47" s="507"/>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07" t="str">
        <f>'Schedule 2A Adjustments'!B47:D47</f>
        <v/>
      </c>
      <c r="C48" s="507"/>
      <c r="D48" s="507"/>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07" t="str">
        <f>'Schedule 2A Adjustments'!B48:D48</f>
        <v/>
      </c>
      <c r="C49" s="507"/>
      <c r="D49" s="507"/>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07" t="str">
        <f>'Schedule 2A Adjustments'!B49:D49</f>
        <v/>
      </c>
      <c r="C50" s="507"/>
      <c r="D50" s="507"/>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07" t="str">
        <f>'Schedule 2A Adjustments'!B50:D50</f>
        <v/>
      </c>
      <c r="C51" s="507"/>
      <c r="D51" s="507"/>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07" t="str">
        <f>'Schedule 2A Adjustments'!B51:D51</f>
        <v/>
      </c>
      <c r="C52" s="507"/>
      <c r="D52" s="507"/>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07" t="str">
        <f>'Schedule 2A Adjustments'!B52:D52</f>
        <v/>
      </c>
      <c r="C53" s="507"/>
      <c r="D53" s="507"/>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07" t="str">
        <f>'Schedule 2A Adjustments'!B53:D53</f>
        <v/>
      </c>
      <c r="C54" s="507"/>
      <c r="D54" s="507"/>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07" t="str">
        <f>'Schedule 2A Adjustments'!B54:D54</f>
        <v/>
      </c>
      <c r="C55" s="507"/>
      <c r="D55" s="507"/>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07" t="str">
        <f>'Schedule 2A Adjustments'!B55:D55</f>
        <v/>
      </c>
      <c r="C56" s="507"/>
      <c r="D56" s="507"/>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07" t="str">
        <f>'Schedule 2A Adjustments'!B56:D56</f>
        <v/>
      </c>
      <c r="C57" s="507"/>
      <c r="D57" s="507"/>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07" t="str">
        <f>'Schedule 2A Adjustments'!B57:D57</f>
        <v/>
      </c>
      <c r="C58" s="507"/>
      <c r="D58" s="507"/>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07" t="str">
        <f>'Schedule 2A Adjustments'!B58:D58</f>
        <v/>
      </c>
      <c r="C59" s="507"/>
      <c r="D59" s="507"/>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07" t="str">
        <f>'Schedule 2A Adjustments'!B59:D59</f>
        <v/>
      </c>
      <c r="C60" s="507"/>
      <c r="D60" s="507"/>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07" t="str">
        <f>'Schedule 2A Adjustments'!B60:D60</f>
        <v/>
      </c>
      <c r="C61" s="507"/>
      <c r="D61" s="507"/>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07" t="str">
        <f>'Schedule 2A Adjustments'!B61:D61</f>
        <v/>
      </c>
      <c r="C62" s="507"/>
      <c r="D62" s="507"/>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07" t="str">
        <f>'Schedule 2A Adjustments'!B62:D62</f>
        <v/>
      </c>
      <c r="C63" s="507"/>
      <c r="D63" s="507"/>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07" t="str">
        <f>'Schedule 2A Adjustments'!B63:D63</f>
        <v/>
      </c>
      <c r="C64" s="507"/>
      <c r="D64" s="507"/>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07" t="str">
        <f>'Schedule 2A Adjustments'!B64:D64</f>
        <v/>
      </c>
      <c r="C65" s="507"/>
      <c r="D65" s="507"/>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07" t="str">
        <f>'Schedule 2A Adjustments'!B65:D65</f>
        <v/>
      </c>
      <c r="C66" s="507"/>
      <c r="D66" s="507"/>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07" t="str">
        <f>'Schedule 2A Adjustments'!B66:D66</f>
        <v/>
      </c>
      <c r="C67" s="507"/>
      <c r="D67" s="507"/>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07" t="str">
        <f>'Schedule 2A Adjustments'!B67:D67</f>
        <v/>
      </c>
      <c r="C68" s="507"/>
      <c r="D68" s="507"/>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07" t="str">
        <f>'Schedule 2A Adjustments'!B68:D68</f>
        <v/>
      </c>
      <c r="C69" s="507"/>
      <c r="D69" s="507"/>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07" t="str">
        <f>'Schedule 2A Adjustments'!B69:D69</f>
        <v/>
      </c>
      <c r="C70" s="507"/>
      <c r="D70" s="507"/>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07" t="str">
        <f>'Schedule 2A Adjustments'!B70:D70</f>
        <v/>
      </c>
      <c r="C71" s="507"/>
      <c r="D71" s="507"/>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07" t="str">
        <f>'Schedule 2A Adjustments'!B71:D71</f>
        <v/>
      </c>
      <c r="C72" s="507"/>
      <c r="D72" s="507"/>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07" t="str">
        <f>'Schedule 2A Adjustments'!B72:D72</f>
        <v/>
      </c>
      <c r="C73" s="507"/>
      <c r="D73" s="507"/>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3189973.6069380082</v>
      </c>
      <c r="G74" s="18">
        <f t="shared" ref="G74" si="2">SUM(G16:G73)</f>
        <v>1435327.6033159853</v>
      </c>
      <c r="H74" s="18">
        <f>SUM(H16:H73)</f>
        <v>4625301.210253993</v>
      </c>
      <c r="J74" s="18">
        <f>SUM(J16:J73)</f>
        <v>245735.70928738636</v>
      </c>
      <c r="K74" s="18">
        <f t="shared" ref="K74:L74" si="3">SUM(K16:K73)</f>
        <v>110568.70373268651</v>
      </c>
      <c r="L74" s="18">
        <f t="shared" si="3"/>
        <v>356304.41302007291</v>
      </c>
      <c r="O74" s="83" t="s">
        <v>313</v>
      </c>
    </row>
    <row r="75" spans="1:15" ht="15" thickBot="1" x14ac:dyDescent="0.4">
      <c r="H75" s="37" t="s">
        <v>257</v>
      </c>
      <c r="L75" s="37" t="s">
        <v>258</v>
      </c>
    </row>
    <row r="76" spans="1:15" ht="16" thickBot="1" x14ac:dyDescent="0.4">
      <c r="A76" s="24">
        <v>60</v>
      </c>
      <c r="B76" s="143" t="s">
        <v>463</v>
      </c>
      <c r="C76" s="72"/>
      <c r="E76" s="72"/>
      <c r="F76" s="75">
        <f>H74+L74</f>
        <v>4981605.6232740656</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6" fitToHeight="0"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pageSetUpPr fitToPage="1"/>
  </sheetPr>
  <dimension ref="A1:O76"/>
  <sheetViews>
    <sheetView workbookViewId="0"/>
  </sheetViews>
  <sheetFormatPr defaultColWidth="9.08984375" defaultRowHeight="14.5" x14ac:dyDescent="0.35"/>
  <cols>
    <col min="1" max="1" width="9.54296875" customWidth="1"/>
    <col min="2" max="2" width="16" customWidth="1"/>
    <col min="3" max="3" width="22.5429687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5" width="12" customWidth="1"/>
  </cols>
  <sheetData>
    <row r="1" spans="1:15" ht="26" x14ac:dyDescent="0.6">
      <c r="A1" s="3" t="s">
        <v>774</v>
      </c>
    </row>
    <row r="2" spans="1:15" ht="21" x14ac:dyDescent="0.5">
      <c r="A2" s="2" t="s">
        <v>772</v>
      </c>
    </row>
    <row r="3" spans="1:15" ht="24.9" customHeight="1" x14ac:dyDescent="0.5">
      <c r="A3" s="488" t="s">
        <v>694</v>
      </c>
      <c r="B3" s="488"/>
      <c r="C3" s="488"/>
      <c r="D3" s="488"/>
      <c r="E3" s="488"/>
      <c r="F3" s="488"/>
      <c r="G3" s="488"/>
      <c r="H3" s="488"/>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2B Adjustments'!B15:D15</f>
        <v>1881 - CENT CASE MANAGEMENT</v>
      </c>
      <c r="C16" s="507"/>
      <c r="D16" s="507"/>
      <c r="F16" s="117">
        <f>'Schedule 2B Adjustments'!H15</f>
        <v>1155736.29629058</v>
      </c>
      <c r="G16" s="181">
        <f>'Schedule 2B Adjustments'!J15</f>
        <v>520023.17655924388</v>
      </c>
      <c r="H16" s="181">
        <f>SUM(F16:G16)</f>
        <v>1675759.4728498238</v>
      </c>
      <c r="I16" s="100"/>
      <c r="J16" s="180">
        <f>'Schedule 2B Adjustments'!P15</f>
        <v>0</v>
      </c>
      <c r="K16" s="181">
        <f>'Schedule 2B Adjustments'!R15</f>
        <v>0</v>
      </c>
      <c r="L16" s="68">
        <f>SUM(J16:K16)</f>
        <v>0</v>
      </c>
      <c r="N16" s="120">
        <f>'Schedule 2B Adjustments'!X15</f>
        <v>10.213333333333333</v>
      </c>
      <c r="O16" s="120">
        <f>'Schedule 2B Adjustments'!AA15</f>
        <v>1296</v>
      </c>
    </row>
    <row r="17" spans="1:15" x14ac:dyDescent="0.35">
      <c r="A17" s="24">
        <v>2</v>
      </c>
      <c r="B17" s="507" t="str">
        <f>'Schedule 2B Adjustments'!B16:D16</f>
        <v xml:space="preserve">2565 - COMB SCHOOL BASED SERVICES  </v>
      </c>
      <c r="C17" s="507"/>
      <c r="D17" s="507"/>
      <c r="F17" s="117">
        <f>'Schedule 2B Adjustments'!H16</f>
        <v>1605799.9973329403</v>
      </c>
      <c r="G17" s="181">
        <f>'Schedule 2B Adjustments'!J16</f>
        <v>722529.19477571594</v>
      </c>
      <c r="H17" s="68">
        <f t="shared" ref="H17:H73" si="0">SUM(F17:G17)</f>
        <v>2328329.1921086563</v>
      </c>
      <c r="J17" s="180">
        <f>'Schedule 2B Adjustments'!P16</f>
        <v>0</v>
      </c>
      <c r="K17" s="181">
        <f>'Schedule 2B Adjustments'!R16</f>
        <v>0</v>
      </c>
      <c r="L17" s="68">
        <f t="shared" ref="L17:L73" si="1">SUM(J17:K17)</f>
        <v>0</v>
      </c>
      <c r="N17" s="120">
        <f>'Schedule 2B Adjustments'!X16</f>
        <v>13.514166666666668</v>
      </c>
      <c r="O17" s="120">
        <f>'Schedule 2B Adjustments'!AA16</f>
        <v>919</v>
      </c>
    </row>
    <row r="18" spans="1:15" x14ac:dyDescent="0.35">
      <c r="A18" s="24">
        <v>3</v>
      </c>
      <c r="B18" s="507" t="str">
        <f>'Schedule 2B Adjustments'!B17:D17</f>
        <v>2575 - COMB ARPA SLFRF</v>
      </c>
      <c r="C18" s="507"/>
      <c r="D18" s="507"/>
      <c r="F18" s="117">
        <f>'Schedule 2B Adjustments'!H17</f>
        <v>0</v>
      </c>
      <c r="G18" s="181">
        <f>'Schedule 2B Adjustments'!J17</f>
        <v>0</v>
      </c>
      <c r="H18" s="68">
        <f t="shared" si="0"/>
        <v>0</v>
      </c>
      <c r="J18" s="180">
        <f>'Schedule 2B Adjustments'!P17</f>
        <v>252772.80634175433</v>
      </c>
      <c r="K18" s="181">
        <f>'Schedule 2B Adjustments'!R17</f>
        <v>113735.04329969104</v>
      </c>
      <c r="L18" s="68">
        <f t="shared" si="1"/>
        <v>366507.84964144538</v>
      </c>
      <c r="N18" s="120">
        <f>'Schedule 2B Adjustments'!X17</f>
        <v>2.1531666666666673</v>
      </c>
      <c r="O18" s="120">
        <f>'Schedule 2B Adjustments'!AA17</f>
        <v>0</v>
      </c>
    </row>
    <row r="19" spans="1:15" x14ac:dyDescent="0.35">
      <c r="A19" s="24">
        <v>4</v>
      </c>
      <c r="B19" s="507" t="str">
        <f>'Schedule 2B Adjustments'!B18:D18</f>
        <v>2578 - COMB BHA WORKFORCE</v>
      </c>
      <c r="C19" s="507"/>
      <c r="D19" s="507"/>
      <c r="F19" s="117">
        <f>'Schedule 2B Adjustments'!H18</f>
        <v>0</v>
      </c>
      <c r="G19" s="181">
        <f>'Schedule 2B Adjustments'!J18</f>
        <v>0</v>
      </c>
      <c r="H19" s="68">
        <f t="shared" si="0"/>
        <v>0</v>
      </c>
      <c r="J19" s="180">
        <f>'Schedule 2B Adjustments'!P18</f>
        <v>98544.933560766629</v>
      </c>
      <c r="K19" s="181">
        <f>'Schedule 2B Adjustments'!R18</f>
        <v>44340.261310963542</v>
      </c>
      <c r="L19" s="68">
        <f t="shared" si="1"/>
        <v>142885.19487173017</v>
      </c>
      <c r="N19" s="120">
        <f>'Schedule 2B Adjustments'!X18</f>
        <v>0.58333333333333337</v>
      </c>
      <c r="O19" s="120">
        <f>'Schedule 2B Adjustments'!AA18</f>
        <v>0</v>
      </c>
    </row>
    <row r="20" spans="1:15" x14ac:dyDescent="0.35">
      <c r="A20" s="24">
        <v>5</v>
      </c>
      <c r="B20" s="507" t="str">
        <f>'Schedule 2B Adjustments'!B19:D19</f>
        <v>2579 - COMB ZERO SUICIDE</v>
      </c>
      <c r="C20" s="507"/>
      <c r="D20" s="507"/>
      <c r="F20" s="117">
        <f>'Schedule 2B Adjustments'!H19</f>
        <v>0</v>
      </c>
      <c r="G20" s="181">
        <f>'Schedule 2B Adjustments'!J19</f>
        <v>0</v>
      </c>
      <c r="H20" s="68">
        <f t="shared" si="0"/>
        <v>0</v>
      </c>
      <c r="J20" s="180">
        <f>'Schedule 2B Adjustments'!P19</f>
        <v>18473.419487771873</v>
      </c>
      <c r="K20" s="181">
        <f>'Schedule 2B Adjustments'!R19</f>
        <v>8312.1091850932371</v>
      </c>
      <c r="L20" s="68">
        <f t="shared" si="1"/>
        <v>26785.528672865112</v>
      </c>
      <c r="N20" s="120">
        <f>'Schedule 2B Adjustments'!X19</f>
        <v>0</v>
      </c>
      <c r="O20" s="120">
        <f>'Schedule 2B Adjustments'!AA19</f>
        <v>0</v>
      </c>
    </row>
    <row r="21" spans="1:15" x14ac:dyDescent="0.35">
      <c r="A21" s="24">
        <v>6</v>
      </c>
      <c r="B21" s="507" t="str">
        <f>'Schedule 2B Adjustments'!B20:D20</f>
        <v/>
      </c>
      <c r="C21" s="507"/>
      <c r="D21" s="507"/>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07" t="str">
        <f>'Schedule 2B Adjustments'!B21:D21</f>
        <v/>
      </c>
      <c r="C22" s="507"/>
      <c r="D22" s="507"/>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07" t="str">
        <f>'Schedule 2B Adjustments'!B22:D22</f>
        <v/>
      </c>
      <c r="C23" s="507"/>
      <c r="D23" s="507"/>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07" t="str">
        <f>'Schedule 2B Adjustments'!B23:D23</f>
        <v/>
      </c>
      <c r="C24" s="507"/>
      <c r="D24" s="507"/>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07" t="str">
        <f>'Schedule 2B Adjustments'!B24:D24</f>
        <v/>
      </c>
      <c r="C25" s="507"/>
      <c r="D25" s="507"/>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07" t="str">
        <f>'Schedule 2B Adjustments'!B25:D25</f>
        <v/>
      </c>
      <c r="C26" s="507"/>
      <c r="D26" s="507"/>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07" t="str">
        <f>'Schedule 2B Adjustments'!B26:D26</f>
        <v/>
      </c>
      <c r="C27" s="507"/>
      <c r="D27" s="507"/>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07" t="str">
        <f>'Schedule 2B Adjustments'!B27:D27</f>
        <v/>
      </c>
      <c r="C28" s="507"/>
      <c r="D28" s="507"/>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07" t="str">
        <f>'Schedule 2B Adjustments'!B28:D28</f>
        <v/>
      </c>
      <c r="C29" s="507"/>
      <c r="D29" s="507"/>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07" t="str">
        <f>'Schedule 2B Adjustments'!B29:D29</f>
        <v/>
      </c>
      <c r="C30" s="507"/>
      <c r="D30" s="507"/>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07" t="str">
        <f>'Schedule 2B Adjustments'!B30:D30</f>
        <v/>
      </c>
      <c r="C31" s="507"/>
      <c r="D31" s="507"/>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07" t="str">
        <f>'Schedule 2B Adjustments'!B31:D31</f>
        <v/>
      </c>
      <c r="C32" s="507"/>
      <c r="D32" s="507"/>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07" t="str">
        <f>'Schedule 2B Adjustments'!B32:D32</f>
        <v/>
      </c>
      <c r="C33" s="507"/>
      <c r="D33" s="507"/>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07" t="str">
        <f>'Schedule 2B Adjustments'!B33:D33</f>
        <v/>
      </c>
      <c r="C34" s="507"/>
      <c r="D34" s="507"/>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07" t="str">
        <f>'Schedule 2B Adjustments'!B34:D34</f>
        <v/>
      </c>
      <c r="C35" s="507"/>
      <c r="D35" s="507"/>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07" t="str">
        <f>'Schedule 2B Adjustments'!B35:D35</f>
        <v/>
      </c>
      <c r="C36" s="507"/>
      <c r="D36" s="507"/>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07" t="str">
        <f>'Schedule 2B Adjustments'!B36:D36</f>
        <v/>
      </c>
      <c r="C37" s="507"/>
      <c r="D37" s="507"/>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07" t="str">
        <f>'Schedule 2B Adjustments'!B37:D37</f>
        <v/>
      </c>
      <c r="C38" s="507"/>
      <c r="D38" s="507"/>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07" t="str">
        <f>'Schedule 2B Adjustments'!B38:D38</f>
        <v/>
      </c>
      <c r="C39" s="507"/>
      <c r="D39" s="507"/>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07" t="str">
        <f>'Schedule 2B Adjustments'!B39:D39</f>
        <v/>
      </c>
      <c r="C40" s="507"/>
      <c r="D40" s="507"/>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07" t="str">
        <f>'Schedule 2B Adjustments'!B40:D40</f>
        <v/>
      </c>
      <c r="C41" s="507"/>
      <c r="D41" s="507"/>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07" t="str">
        <f>'Schedule 2B Adjustments'!B41:D41</f>
        <v/>
      </c>
      <c r="C42" s="507"/>
      <c r="D42" s="507"/>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07" t="str">
        <f>'Schedule 2B Adjustments'!B42:D42</f>
        <v/>
      </c>
      <c r="C43" s="507"/>
      <c r="D43" s="507"/>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07" t="str">
        <f>'Schedule 2B Adjustments'!B43:D43</f>
        <v/>
      </c>
      <c r="C44" s="507"/>
      <c r="D44" s="507"/>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07" t="str">
        <f>'Schedule 2B Adjustments'!B44:D44</f>
        <v/>
      </c>
      <c r="C45" s="507"/>
      <c r="D45" s="507"/>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07" t="str">
        <f>'Schedule 2B Adjustments'!B45:D45</f>
        <v/>
      </c>
      <c r="C46" s="507"/>
      <c r="D46" s="507"/>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07" t="str">
        <f>'Schedule 2B Adjustments'!B46:D46</f>
        <v/>
      </c>
      <c r="C47" s="507"/>
      <c r="D47" s="507"/>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07" t="str">
        <f>'Schedule 2B Adjustments'!B47:D47</f>
        <v/>
      </c>
      <c r="C48" s="507"/>
      <c r="D48" s="507"/>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07" t="str">
        <f>'Schedule 2B Adjustments'!B48:D48</f>
        <v/>
      </c>
      <c r="C49" s="507"/>
      <c r="D49" s="507"/>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07" t="str">
        <f>'Schedule 2B Adjustments'!B49:D49</f>
        <v/>
      </c>
      <c r="C50" s="507"/>
      <c r="D50" s="507"/>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07" t="str">
        <f>'Schedule 2B Adjustments'!B50:D50</f>
        <v/>
      </c>
      <c r="C51" s="507"/>
      <c r="D51" s="507"/>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07" t="str">
        <f>'Schedule 2B Adjustments'!B51:D51</f>
        <v/>
      </c>
      <c r="C52" s="507"/>
      <c r="D52" s="507"/>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07" t="str">
        <f>'Schedule 2B Adjustments'!B52:D52</f>
        <v/>
      </c>
      <c r="C53" s="507"/>
      <c r="D53" s="507"/>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07" t="str">
        <f>'Schedule 2B Adjustments'!B53:D53</f>
        <v/>
      </c>
      <c r="C54" s="507"/>
      <c r="D54" s="507"/>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07" t="str">
        <f>'Schedule 2B Adjustments'!B54:D54</f>
        <v/>
      </c>
      <c r="C55" s="507"/>
      <c r="D55" s="507"/>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07" t="str">
        <f>'Schedule 2B Adjustments'!B55:D55</f>
        <v/>
      </c>
      <c r="C56" s="507"/>
      <c r="D56" s="507"/>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07" t="str">
        <f>'Schedule 2B Adjustments'!B56:D56</f>
        <v/>
      </c>
      <c r="C57" s="507"/>
      <c r="D57" s="507"/>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07" t="str">
        <f>'Schedule 2B Adjustments'!B57:D57</f>
        <v/>
      </c>
      <c r="C58" s="507"/>
      <c r="D58" s="507"/>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07" t="str">
        <f>'Schedule 2B Adjustments'!B58:D58</f>
        <v/>
      </c>
      <c r="C59" s="507"/>
      <c r="D59" s="507"/>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07" t="str">
        <f>'Schedule 2B Adjustments'!B59:D59</f>
        <v/>
      </c>
      <c r="C60" s="507"/>
      <c r="D60" s="507"/>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07" t="str">
        <f>'Schedule 2B Adjustments'!B60:D60</f>
        <v/>
      </c>
      <c r="C61" s="507"/>
      <c r="D61" s="507"/>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07" t="str">
        <f>'Schedule 2B Adjustments'!B61:D61</f>
        <v/>
      </c>
      <c r="C62" s="507"/>
      <c r="D62" s="507"/>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07" t="str">
        <f>'Schedule 2B Adjustments'!B62:D62</f>
        <v/>
      </c>
      <c r="C63" s="507"/>
      <c r="D63" s="507"/>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07" t="str">
        <f>'Schedule 2B Adjustments'!B63:D63</f>
        <v/>
      </c>
      <c r="C64" s="507"/>
      <c r="D64" s="507"/>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07" t="str">
        <f>'Schedule 2B Adjustments'!B64:D64</f>
        <v/>
      </c>
      <c r="C65" s="507"/>
      <c r="D65" s="507"/>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07" t="str">
        <f>'Schedule 2B Adjustments'!B65:D65</f>
        <v/>
      </c>
      <c r="C66" s="507"/>
      <c r="D66" s="507"/>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07" t="str">
        <f>'Schedule 2B Adjustments'!B66:D66</f>
        <v/>
      </c>
      <c r="C67" s="507"/>
      <c r="D67" s="507"/>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07" t="str">
        <f>'Schedule 2B Adjustments'!B67:D67</f>
        <v/>
      </c>
      <c r="C68" s="507"/>
      <c r="D68" s="507"/>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07" t="str">
        <f>'Schedule 2B Adjustments'!B68:D68</f>
        <v/>
      </c>
      <c r="C69" s="507"/>
      <c r="D69" s="507"/>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07" t="str">
        <f>'Schedule 2B Adjustments'!B69:D69</f>
        <v/>
      </c>
      <c r="C70" s="507"/>
      <c r="D70" s="507"/>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07" t="str">
        <f>'Schedule 2B Adjustments'!B70:D70</f>
        <v/>
      </c>
      <c r="C71" s="507"/>
      <c r="D71" s="507"/>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07" t="str">
        <f>'Schedule 2B Adjustments'!B71:D71</f>
        <v/>
      </c>
      <c r="C72" s="507"/>
      <c r="D72" s="507"/>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07" t="str">
        <f>'Schedule 2B Adjustments'!B72:D72</f>
        <v/>
      </c>
      <c r="C73" s="507"/>
      <c r="D73" s="507"/>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2761536.2936235201</v>
      </c>
      <c r="G74" s="18">
        <f t="shared" ref="G74:H74" si="2">SUM(G16:G73)</f>
        <v>1242552.3713349598</v>
      </c>
      <c r="H74" s="18">
        <f t="shared" si="2"/>
        <v>4004088.6649584798</v>
      </c>
      <c r="J74" s="18">
        <f>SUM(J16:J73)</f>
        <v>369791.15939029283</v>
      </c>
      <c r="K74" s="18">
        <f t="shared" ref="K74:L74" si="3">SUM(K16:K73)</f>
        <v>166387.41379574782</v>
      </c>
      <c r="L74" s="18">
        <f t="shared" si="3"/>
        <v>536178.57318604062</v>
      </c>
      <c r="O74" s="83" t="s">
        <v>313</v>
      </c>
    </row>
    <row r="75" spans="1:15" ht="15" thickBot="1" x14ac:dyDescent="0.4">
      <c r="H75" s="37" t="s">
        <v>257</v>
      </c>
      <c r="L75" s="37" t="s">
        <v>258</v>
      </c>
    </row>
    <row r="76" spans="1:15" s="72" customFormat="1" ht="16" thickBot="1" x14ac:dyDescent="0.4">
      <c r="A76" s="24">
        <v>60</v>
      </c>
      <c r="B76" s="73" t="s">
        <v>460</v>
      </c>
      <c r="F76" s="75">
        <f>H74+L74</f>
        <v>4540267.2381445207</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6"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pageSetUpPr fitToPage="1"/>
  </sheetPr>
  <dimension ref="A1:O76"/>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453125" customWidth="1"/>
    <col min="15" max="15" width="12" customWidth="1"/>
  </cols>
  <sheetData>
    <row r="1" spans="1:15" ht="26" x14ac:dyDescent="0.6">
      <c r="A1" s="3" t="s">
        <v>774</v>
      </c>
    </row>
    <row r="2" spans="1:15" ht="21" x14ac:dyDescent="0.5">
      <c r="A2" s="2" t="s">
        <v>772</v>
      </c>
    </row>
    <row r="3" spans="1:15" ht="24.9" customHeight="1" x14ac:dyDescent="0.5">
      <c r="A3" s="488" t="s">
        <v>695</v>
      </c>
      <c r="B3" s="488"/>
      <c r="C3" s="488"/>
      <c r="D3" s="488"/>
      <c r="E3" s="488"/>
      <c r="F3" s="488"/>
      <c r="G3" s="488"/>
      <c r="H3" s="488"/>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2C Adjustments'!B15:D15</f>
        <v>1882 - CENT INTERNS</v>
      </c>
      <c r="C16" s="507"/>
      <c r="D16" s="507"/>
      <c r="F16" s="117">
        <f>'Schedule 2C Adjustments'!H15</f>
        <v>319708.61218339083</v>
      </c>
      <c r="G16" s="68">
        <f>'Schedule 2C Adjustments'!J15</f>
        <v>143852.78771166457</v>
      </c>
      <c r="H16" s="68">
        <f>SUM(F16:G16)</f>
        <v>463561.39989505539</v>
      </c>
      <c r="J16" s="117">
        <f>'Schedule 2C Adjustments'!P15</f>
        <v>0</v>
      </c>
      <c r="K16" s="68">
        <f>'Schedule 2C Adjustments'!R15</f>
        <v>0</v>
      </c>
      <c r="L16" s="68">
        <f>SUM(J16:K16)</f>
        <v>0</v>
      </c>
      <c r="N16" s="120">
        <f>'Schedule 2C Adjustments'!X15</f>
        <v>3.5</v>
      </c>
      <c r="O16" s="120">
        <f>'Schedule 2C Adjustments'!AA15</f>
        <v>187</v>
      </c>
    </row>
    <row r="17" spans="1:15" x14ac:dyDescent="0.35">
      <c r="A17" s="24">
        <v>2</v>
      </c>
      <c r="B17" s="507" t="str">
        <f>'Schedule 2C Adjustments'!B16:D16</f>
        <v>2561 - COMB BH IPS</v>
      </c>
      <c r="C17" s="507"/>
      <c r="D17" s="507"/>
      <c r="F17" s="117">
        <f>'Schedule 2C Adjustments'!H16</f>
        <v>325991.80652588111</v>
      </c>
      <c r="G17" s="68">
        <f>'Schedule 2C Adjustments'!J16</f>
        <v>146679.90899478761</v>
      </c>
      <c r="H17" s="68">
        <f t="shared" ref="H17:H73" si="0">SUM(F17:G17)</f>
        <v>472671.71552066872</v>
      </c>
      <c r="J17" s="117">
        <f>'Schedule 2C Adjustments'!P16</f>
        <v>37652.549082016652</v>
      </c>
      <c r="K17" s="68">
        <f>'Schedule 2C Adjustments'!R16</f>
        <v>16941.752406692787</v>
      </c>
      <c r="L17" s="68">
        <f t="shared" ref="L17:L73" si="1">SUM(J17:K17)</f>
        <v>54594.30148870944</v>
      </c>
      <c r="N17" s="120">
        <f>'Schedule 2C Adjustments'!X16</f>
        <v>3.6666666666666665</v>
      </c>
      <c r="O17" s="120">
        <f>'Schedule 2C Adjustments'!AA16</f>
        <v>133</v>
      </c>
    </row>
    <row r="18" spans="1:15" x14ac:dyDescent="0.35">
      <c r="A18" s="24">
        <v>3</v>
      </c>
      <c r="B18" s="507" t="str">
        <f>'Schedule 2C Adjustments'!B17:D17</f>
        <v>2566 - COMB IPS</v>
      </c>
      <c r="C18" s="507"/>
      <c r="D18" s="507"/>
      <c r="F18" s="117">
        <f>'Schedule 2C Adjustments'!H17</f>
        <v>219684.397570292</v>
      </c>
      <c r="G18" s="68">
        <f>'Schedule 2C Adjustments'!J17</f>
        <v>98846.924364729086</v>
      </c>
      <c r="H18" s="68">
        <f t="shared" si="0"/>
        <v>318531.32193502109</v>
      </c>
      <c r="J18" s="117">
        <f>'Schedule 2C Adjustments'!P17</f>
        <v>27460.549696286511</v>
      </c>
      <c r="K18" s="68">
        <f>'Schedule 2C Adjustments'!R17</f>
        <v>12355.865545591139</v>
      </c>
      <c r="L18" s="68">
        <f t="shared" si="1"/>
        <v>39816.41524187765</v>
      </c>
      <c r="N18" s="120">
        <f>'Schedule 2C Adjustments'!X17</f>
        <v>2.7916666666666665</v>
      </c>
      <c r="O18" s="120">
        <f>'Schedule 2C Adjustments'!AA17</f>
        <v>74</v>
      </c>
    </row>
    <row r="19" spans="1:15" x14ac:dyDescent="0.35">
      <c r="A19" s="24">
        <v>4</v>
      </c>
      <c r="B19" s="507" t="str">
        <f>'Schedule 2C Adjustments'!B18:D18</f>
        <v>2574 - COMB SAMHSA CMHC</v>
      </c>
      <c r="C19" s="507"/>
      <c r="D19" s="507"/>
      <c r="F19" s="117">
        <f>'Schedule 2C Adjustments'!H18</f>
        <v>1099488.3633298918</v>
      </c>
      <c r="G19" s="68">
        <f>'Schedule 2C Adjustments'!J18</f>
        <v>494714.43712881394</v>
      </c>
      <c r="H19" s="68">
        <f t="shared" si="0"/>
        <v>1594202.8004587058</v>
      </c>
      <c r="J19" s="117">
        <f>'Schedule 2C Adjustments'!P18</f>
        <v>667147.17639339215</v>
      </c>
      <c r="K19" s="68">
        <f>'Schedule 2C Adjustments'!R18</f>
        <v>300182.65846121259</v>
      </c>
      <c r="L19" s="68">
        <f t="shared" si="1"/>
        <v>967329.83485460468</v>
      </c>
      <c r="N19" s="120">
        <f>'Schedule 2C Adjustments'!X18</f>
        <v>14.220833333333337</v>
      </c>
      <c r="O19" s="120">
        <f>'Schedule 2C Adjustments'!AA18</f>
        <v>1994</v>
      </c>
    </row>
    <row r="20" spans="1:15" x14ac:dyDescent="0.35">
      <c r="A20" s="24">
        <v>5</v>
      </c>
      <c r="B20" s="507" t="str">
        <f>'Schedule 2C Adjustments'!B19:D19</f>
        <v>2576 - COMB SAMHSA SERG</v>
      </c>
      <c r="C20" s="507"/>
      <c r="D20" s="507"/>
      <c r="F20" s="117">
        <f>'Schedule 2C Adjustments'!H19</f>
        <v>25273.840723394333</v>
      </c>
      <c r="G20" s="68">
        <f>'Schedule 2C Adjustments'!J19</f>
        <v>11371.956543214281</v>
      </c>
      <c r="H20" s="68">
        <f t="shared" si="0"/>
        <v>36645.797266608613</v>
      </c>
      <c r="J20" s="117">
        <f>'Schedule 2C Adjustments'!P19</f>
        <v>392317.32157768391</v>
      </c>
      <c r="K20" s="68">
        <f>'Schedule 2C Adjustments'!R19</f>
        <v>176523.05326123245</v>
      </c>
      <c r="L20" s="68">
        <f t="shared" si="1"/>
        <v>568840.37483891635</v>
      </c>
      <c r="N20" s="120">
        <f>'Schedule 2C Adjustments'!X19</f>
        <v>3.8358333333333334</v>
      </c>
      <c r="O20" s="120">
        <f>'Schedule 2C Adjustments'!AA19</f>
        <v>9</v>
      </c>
    </row>
    <row r="21" spans="1:15" x14ac:dyDescent="0.35">
      <c r="A21" s="24">
        <v>6</v>
      </c>
      <c r="B21" s="507" t="str">
        <f>'Schedule 2C Adjustments'!B20:D20</f>
        <v>3080 - CENT CLUBHOUSE</v>
      </c>
      <c r="C21" s="507"/>
      <c r="D21" s="507"/>
      <c r="F21" s="117">
        <f>'Schedule 2C Adjustments'!H20</f>
        <v>5883.0745691844977</v>
      </c>
      <c r="G21" s="68">
        <f>'Schedule 2C Adjustments'!J20</f>
        <v>2647.0875192043263</v>
      </c>
      <c r="H21" s="68">
        <f t="shared" si="0"/>
        <v>8530.1620883888245</v>
      </c>
      <c r="J21" s="117">
        <f>'Schedule 2C Adjustments'!P20</f>
        <v>0</v>
      </c>
      <c r="K21" s="68">
        <f>'Schedule 2C Adjustments'!R20</f>
        <v>0</v>
      </c>
      <c r="L21" s="68">
        <f t="shared" si="1"/>
        <v>0</v>
      </c>
      <c r="N21" s="120">
        <f>'Schedule 2C Adjustments'!X20</f>
        <v>0.08</v>
      </c>
      <c r="O21" s="120">
        <f>'Schedule 2C Adjustments'!AA20</f>
        <v>3</v>
      </c>
    </row>
    <row r="22" spans="1:15" x14ac:dyDescent="0.35">
      <c r="A22" s="24">
        <v>7</v>
      </c>
      <c r="B22" s="507" t="str">
        <f>'Schedule 2C Adjustments'!B21:D21</f>
        <v>3501 - RURL CLINICAL</v>
      </c>
      <c r="C22" s="507"/>
      <c r="D22" s="507"/>
      <c r="F22" s="117">
        <f>'Schedule 2C Adjustments'!H21</f>
        <v>635599.8405440246</v>
      </c>
      <c r="G22" s="68">
        <f>'Schedule 2C Adjustments'!J21</f>
        <v>285987.94479424239</v>
      </c>
      <c r="H22" s="68">
        <f t="shared" si="0"/>
        <v>921587.78533826699</v>
      </c>
      <c r="J22" s="117">
        <f>'Schedule 2C Adjustments'!P21</f>
        <v>0</v>
      </c>
      <c r="K22" s="68">
        <f>'Schedule 2C Adjustments'!R21</f>
        <v>0</v>
      </c>
      <c r="L22" s="68">
        <f t="shared" si="1"/>
        <v>0</v>
      </c>
      <c r="N22" s="120">
        <f>'Schedule 2C Adjustments'!X21</f>
        <v>3.5</v>
      </c>
      <c r="O22" s="120">
        <f>'Schedule 2C Adjustments'!AA21</f>
        <v>380</v>
      </c>
    </row>
    <row r="23" spans="1:15" x14ac:dyDescent="0.35">
      <c r="A23" s="24">
        <v>8</v>
      </c>
      <c r="B23" s="507" t="str">
        <f>'Schedule 2C Adjustments'!B22:D22</f>
        <v>8001 - YOUTH AND FAMILY COUNSELING</v>
      </c>
      <c r="C23" s="507"/>
      <c r="D23" s="507"/>
      <c r="F23" s="117">
        <f>'Schedule 2C Adjustments'!H22</f>
        <v>1699781.5303419807</v>
      </c>
      <c r="G23" s="68">
        <f>'Schedule 2C Adjustments'!J22</f>
        <v>764816.1554691965</v>
      </c>
      <c r="H23" s="68">
        <f t="shared" si="0"/>
        <v>2464597.6858111774</v>
      </c>
      <c r="J23" s="117">
        <f>'Schedule 2C Adjustments'!P22</f>
        <v>0</v>
      </c>
      <c r="K23" s="68">
        <f>'Schedule 2C Adjustments'!R22</f>
        <v>0</v>
      </c>
      <c r="L23" s="68">
        <f t="shared" si="1"/>
        <v>0</v>
      </c>
      <c r="N23" s="120">
        <f>'Schedule 2C Adjustments'!X22</f>
        <v>12.03</v>
      </c>
      <c r="O23" s="120">
        <f>'Schedule 2C Adjustments'!AA22</f>
        <v>1099</v>
      </c>
    </row>
    <row r="24" spans="1:15" x14ac:dyDescent="0.35">
      <c r="A24" s="24">
        <v>9</v>
      </c>
      <c r="B24" s="507" t="str">
        <f>'Schedule 2C Adjustments'!B23:D23</f>
        <v>8002 - ADULT COUNSELING</v>
      </c>
      <c r="C24" s="507"/>
      <c r="D24" s="507"/>
      <c r="F24" s="117">
        <f>'Schedule 2C Adjustments'!H23</f>
        <v>3414302.9796366929</v>
      </c>
      <c r="G24" s="68">
        <f>'Schedule 2C Adjustments'!J23</f>
        <v>1536264.5327528561</v>
      </c>
      <c r="H24" s="68">
        <f t="shared" si="0"/>
        <v>4950567.5123895491</v>
      </c>
      <c r="J24" s="117">
        <f>'Schedule 2C Adjustments'!P23</f>
        <v>0</v>
      </c>
      <c r="K24" s="68">
        <f>'Schedule 2C Adjustments'!R23</f>
        <v>0</v>
      </c>
      <c r="L24" s="68">
        <f t="shared" si="1"/>
        <v>0</v>
      </c>
      <c r="N24" s="120">
        <f>'Schedule 2C Adjustments'!X23</f>
        <v>24.77</v>
      </c>
      <c r="O24" s="120">
        <f>'Schedule 2C Adjustments'!AA23</f>
        <v>2589</v>
      </c>
    </row>
    <row r="25" spans="1:15" x14ac:dyDescent="0.35">
      <c r="A25" s="24">
        <v>10</v>
      </c>
      <c r="B25" s="507" t="str">
        <f>'Schedule 2C Adjustments'!B24:D24</f>
        <v>8003 - SDA (SAME DAY ACCESS)</v>
      </c>
      <c r="C25" s="507"/>
      <c r="D25" s="507"/>
      <c r="F25" s="117">
        <f>'Schedule 2C Adjustments'!H24</f>
        <v>1022800.9220310607</v>
      </c>
      <c r="G25" s="68">
        <f>'Schedule 2C Adjustments'!J24</f>
        <v>460208.94746442069</v>
      </c>
      <c r="H25" s="68">
        <f t="shared" si="0"/>
        <v>1483009.8694954813</v>
      </c>
      <c r="J25" s="117">
        <f>'Schedule 2C Adjustments'!P24</f>
        <v>0</v>
      </c>
      <c r="K25" s="68">
        <f>'Schedule 2C Adjustments'!R24</f>
        <v>0</v>
      </c>
      <c r="L25" s="68">
        <f t="shared" si="1"/>
        <v>0</v>
      </c>
      <c r="N25" s="120">
        <f>'Schedule 2C Adjustments'!X24</f>
        <v>7.85</v>
      </c>
      <c r="O25" s="120">
        <f>'Schedule 2C Adjustments'!AA24</f>
        <v>2088</v>
      </c>
    </row>
    <row r="26" spans="1:15" x14ac:dyDescent="0.35">
      <c r="A26" s="24">
        <v>11</v>
      </c>
      <c r="B26" s="507" t="str">
        <f>'Schedule 2C Adjustments'!B25:D25</f>
        <v>8010 - PSYCHIATRY</v>
      </c>
      <c r="C26" s="507"/>
      <c r="D26" s="507"/>
      <c r="F26" s="117">
        <f>'Schedule 2C Adjustments'!H25</f>
        <v>4157647.6433963315</v>
      </c>
      <c r="G26" s="68">
        <f>'Schedule 2C Adjustments'!J25</f>
        <v>1870732.2262633322</v>
      </c>
      <c r="H26" s="68">
        <f t="shared" si="0"/>
        <v>6028379.8696596641</v>
      </c>
      <c r="J26" s="117">
        <f>'Schedule 2C Adjustments'!P25</f>
        <v>19250.07</v>
      </c>
      <c r="K26" s="68">
        <f>'Schedule 2C Adjustments'!R25</f>
        <v>8661.5628344607485</v>
      </c>
      <c r="L26" s="68">
        <f t="shared" si="1"/>
        <v>27911.632834460746</v>
      </c>
      <c r="N26" s="120">
        <f>'Schedule 2C Adjustments'!X25</f>
        <v>11.31</v>
      </c>
      <c r="O26" s="120">
        <f>'Schedule 2C Adjustments'!AA25</f>
        <v>5133</v>
      </c>
    </row>
    <row r="27" spans="1:15" x14ac:dyDescent="0.35">
      <c r="A27" s="24">
        <v>12</v>
      </c>
      <c r="B27" s="507" t="str">
        <f>'Schedule 2C Adjustments'!B26:D26</f>
        <v>8011 - OUTPATIENT NURSING</v>
      </c>
      <c r="C27" s="507"/>
      <c r="D27" s="507"/>
      <c r="F27" s="117">
        <f>'Schedule 2C Adjustments'!H26</f>
        <v>781324.60275809816</v>
      </c>
      <c r="G27" s="68">
        <f>'Schedule 2C Adjustments'!J26</f>
        <v>351556.75490527315</v>
      </c>
      <c r="H27" s="68">
        <f t="shared" si="0"/>
        <v>1132881.3576633714</v>
      </c>
      <c r="J27" s="117">
        <f>'Schedule 2C Adjustments'!P26</f>
        <v>0</v>
      </c>
      <c r="K27" s="68">
        <f>'Schedule 2C Adjustments'!R26</f>
        <v>0</v>
      </c>
      <c r="L27" s="68">
        <f t="shared" si="1"/>
        <v>0</v>
      </c>
      <c r="N27" s="120">
        <f>'Schedule 2C Adjustments'!X26</f>
        <v>4.75</v>
      </c>
      <c r="O27" s="120">
        <f>'Schedule 2C Adjustments'!AA26</f>
        <v>2512</v>
      </c>
    </row>
    <row r="28" spans="1:15" x14ac:dyDescent="0.35">
      <c r="A28" s="24">
        <v>13</v>
      </c>
      <c r="B28" s="507" t="str">
        <f>'Schedule 2C Adjustments'!B27:D27</f>
        <v>8020 - ADDICTION SERVICES</v>
      </c>
      <c r="C28" s="507"/>
      <c r="D28" s="507"/>
      <c r="F28" s="117">
        <f>'Schedule 2C Adjustments'!H27</f>
        <v>1381820.4307926111</v>
      </c>
      <c r="G28" s="68">
        <f>'Schedule 2C Adjustments'!J27</f>
        <v>621749.66050782264</v>
      </c>
      <c r="H28" s="68">
        <f t="shared" si="0"/>
        <v>2003570.0913004337</v>
      </c>
      <c r="J28" s="117">
        <f>'Schedule 2C Adjustments'!P27</f>
        <v>99189.914342688557</v>
      </c>
      <c r="K28" s="68">
        <f>'Schedule 2C Adjustments'!R27</f>
        <v>44630.47020732789</v>
      </c>
      <c r="L28" s="68">
        <f t="shared" si="1"/>
        <v>143820.38455001643</v>
      </c>
      <c r="N28" s="120">
        <f>'Schedule 2C Adjustments'!X27</f>
        <v>10.53</v>
      </c>
      <c r="O28" s="120">
        <f>'Schedule 2C Adjustments'!AA27</f>
        <v>773</v>
      </c>
    </row>
    <row r="29" spans="1:15" x14ac:dyDescent="0.35">
      <c r="A29" s="24">
        <v>14</v>
      </c>
      <c r="B29" s="507" t="str">
        <f>'Schedule 2C Adjustments'!B28:D28</f>
        <v/>
      </c>
      <c r="C29" s="507"/>
      <c r="D29" s="507"/>
      <c r="F29" s="117">
        <f>'Schedule 2C Adjustments'!H28</f>
        <v>0</v>
      </c>
      <c r="G29" s="68">
        <f>'Schedule 2C Adjustments'!J28</f>
        <v>0</v>
      </c>
      <c r="H29" s="68">
        <f t="shared" si="0"/>
        <v>0</v>
      </c>
      <c r="J29" s="117">
        <f>'Schedule 2C Adjustments'!P28</f>
        <v>0</v>
      </c>
      <c r="K29" s="68">
        <f>'Schedule 2C Adjustments'!R28</f>
        <v>0</v>
      </c>
      <c r="L29" s="68">
        <f t="shared" si="1"/>
        <v>0</v>
      </c>
      <c r="N29" s="120">
        <f>'Schedule 2C Adjustments'!X28</f>
        <v>0</v>
      </c>
      <c r="O29" s="120">
        <f>'Schedule 2C Adjustments'!AA28</f>
        <v>0</v>
      </c>
    </row>
    <row r="30" spans="1:15" x14ac:dyDescent="0.35">
      <c r="A30" s="24">
        <v>15</v>
      </c>
      <c r="B30" s="507" t="str">
        <f>'Schedule 2C Adjustments'!B29:D29</f>
        <v/>
      </c>
      <c r="C30" s="507"/>
      <c r="D30" s="507"/>
      <c r="F30" s="117">
        <f>'Schedule 2C Adjustments'!H29</f>
        <v>0</v>
      </c>
      <c r="G30" s="68">
        <f>'Schedule 2C Adjustments'!J29</f>
        <v>0</v>
      </c>
      <c r="H30" s="68">
        <f t="shared" si="0"/>
        <v>0</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07" t="str">
        <f>'Schedule 2C Adjustments'!B30:D30</f>
        <v/>
      </c>
      <c r="C31" s="507"/>
      <c r="D31" s="507"/>
      <c r="F31" s="117">
        <f>'Schedule 2C Adjustments'!H30</f>
        <v>0</v>
      </c>
      <c r="G31" s="68">
        <f>'Schedule 2C Adjustments'!J30</f>
        <v>0</v>
      </c>
      <c r="H31" s="68">
        <f t="shared" si="0"/>
        <v>0</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07" t="str">
        <f>'Schedule 2C Adjustments'!B31:D31</f>
        <v/>
      </c>
      <c r="C32" s="507"/>
      <c r="D32" s="507"/>
      <c r="F32" s="117">
        <f>'Schedule 2C Adjustments'!H31</f>
        <v>0</v>
      </c>
      <c r="G32" s="68">
        <f>'Schedule 2C Adjustments'!J31</f>
        <v>0</v>
      </c>
      <c r="H32" s="68">
        <f t="shared" si="0"/>
        <v>0</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07" t="str">
        <f>'Schedule 2C Adjustments'!B32:D32</f>
        <v/>
      </c>
      <c r="C33" s="507"/>
      <c r="D33" s="507"/>
      <c r="F33" s="117">
        <f>'Schedule 2C Adjustments'!H32</f>
        <v>0</v>
      </c>
      <c r="G33" s="68">
        <f>'Schedule 2C Adjustments'!J32</f>
        <v>0</v>
      </c>
      <c r="H33" s="68">
        <f t="shared" si="0"/>
        <v>0</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07" t="str">
        <f>'Schedule 2C Adjustments'!B33:D33</f>
        <v/>
      </c>
      <c r="C34" s="507"/>
      <c r="D34" s="507"/>
      <c r="F34" s="117">
        <f>'Schedule 2C Adjustments'!H33</f>
        <v>0</v>
      </c>
      <c r="G34" s="68">
        <f>'Schedule 2C Adjustments'!J33</f>
        <v>0</v>
      </c>
      <c r="H34" s="68">
        <f t="shared" si="0"/>
        <v>0</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07" t="str">
        <f>'Schedule 2C Adjustments'!B34:D34</f>
        <v/>
      </c>
      <c r="C35" s="507"/>
      <c r="D35" s="507"/>
      <c r="F35" s="117">
        <f>'Schedule 2C Adjustments'!H34</f>
        <v>0</v>
      </c>
      <c r="G35" s="68">
        <f>'Schedule 2C Adjustments'!J34</f>
        <v>0</v>
      </c>
      <c r="H35" s="68">
        <f t="shared" si="0"/>
        <v>0</v>
      </c>
      <c r="J35" s="117">
        <f>'Schedule 2C Adjustments'!P34</f>
        <v>0</v>
      </c>
      <c r="K35" s="68">
        <f>'Schedule 2C Adjustments'!R34</f>
        <v>0</v>
      </c>
      <c r="L35" s="68">
        <f t="shared" si="1"/>
        <v>0</v>
      </c>
      <c r="N35" s="120">
        <f>'Schedule 2C Adjustments'!X34</f>
        <v>0</v>
      </c>
      <c r="O35" s="120">
        <f>'Schedule 2C Adjustments'!AA34</f>
        <v>0</v>
      </c>
    </row>
    <row r="36" spans="1:15" x14ac:dyDescent="0.35">
      <c r="A36" s="24">
        <v>21</v>
      </c>
      <c r="B36" s="507" t="str">
        <f>'Schedule 2C Adjustments'!B35:D35</f>
        <v/>
      </c>
      <c r="C36" s="507"/>
      <c r="D36" s="507"/>
      <c r="F36" s="117">
        <f>'Schedule 2C Adjustments'!H35</f>
        <v>0</v>
      </c>
      <c r="G36" s="68">
        <f>'Schedule 2C Adjustments'!J35</f>
        <v>0</v>
      </c>
      <c r="H36" s="68">
        <f t="shared" si="0"/>
        <v>0</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07" t="str">
        <f>'Schedule 2C Adjustments'!B36:D36</f>
        <v/>
      </c>
      <c r="C37" s="507"/>
      <c r="D37" s="507"/>
      <c r="F37" s="117">
        <f>'Schedule 2C Adjustments'!H36</f>
        <v>0</v>
      </c>
      <c r="G37" s="68">
        <f>'Schedule 2C Adjustments'!J36</f>
        <v>0</v>
      </c>
      <c r="H37" s="68">
        <f t="shared" si="0"/>
        <v>0</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07" t="str">
        <f>'Schedule 2C Adjustments'!B37:D37</f>
        <v/>
      </c>
      <c r="C38" s="507"/>
      <c r="D38" s="507"/>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07" t="str">
        <f>'Schedule 2C Adjustments'!B38:D38</f>
        <v/>
      </c>
      <c r="C39" s="507"/>
      <c r="D39" s="507"/>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07" t="str">
        <f>'Schedule 2C Adjustments'!B39:D39</f>
        <v/>
      </c>
      <c r="C40" s="507"/>
      <c r="D40" s="507"/>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07" t="str">
        <f>'Schedule 2C Adjustments'!B40:D40</f>
        <v/>
      </c>
      <c r="C41" s="507"/>
      <c r="D41" s="507"/>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07" t="str">
        <f>'Schedule 2C Adjustments'!B41:D41</f>
        <v/>
      </c>
      <c r="C42" s="507"/>
      <c r="D42" s="507"/>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07" t="str">
        <f>'Schedule 2C Adjustments'!B42:D42</f>
        <v/>
      </c>
      <c r="C43" s="507"/>
      <c r="D43" s="507"/>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07" t="str">
        <f>'Schedule 2C Adjustments'!B43:D43</f>
        <v/>
      </c>
      <c r="C44" s="507"/>
      <c r="D44" s="507"/>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07" t="str">
        <f>'Schedule 2C Adjustments'!B44:D44</f>
        <v/>
      </c>
      <c r="C45" s="507"/>
      <c r="D45" s="507"/>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07" t="str">
        <f>'Schedule 2C Adjustments'!B45:D45</f>
        <v/>
      </c>
      <c r="C46" s="507"/>
      <c r="D46" s="507"/>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07" t="str">
        <f>'Schedule 2C Adjustments'!B46:D46</f>
        <v/>
      </c>
      <c r="C47" s="507"/>
      <c r="D47" s="507"/>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07" t="str">
        <f>'Schedule 2C Adjustments'!B47:D47</f>
        <v/>
      </c>
      <c r="C48" s="507"/>
      <c r="D48" s="507"/>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07" t="str">
        <f>'Schedule 2C Adjustments'!B48:D48</f>
        <v/>
      </c>
      <c r="C49" s="507"/>
      <c r="D49" s="507"/>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07" t="str">
        <f>'Schedule 2C Adjustments'!B49:D49</f>
        <v/>
      </c>
      <c r="C50" s="507"/>
      <c r="D50" s="507"/>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07" t="str">
        <f>'Schedule 2C Adjustments'!B50:D50</f>
        <v/>
      </c>
      <c r="C51" s="507"/>
      <c r="D51" s="507"/>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07" t="str">
        <f>'Schedule 2C Adjustments'!B51:D51</f>
        <v/>
      </c>
      <c r="C52" s="507"/>
      <c r="D52" s="507"/>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07" t="str">
        <f>'Schedule 2C Adjustments'!B52:D52</f>
        <v/>
      </c>
      <c r="C53" s="507"/>
      <c r="D53" s="507"/>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07" t="str">
        <f>'Schedule 2C Adjustments'!B53:D53</f>
        <v/>
      </c>
      <c r="C54" s="507"/>
      <c r="D54" s="507"/>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07" t="str">
        <f>'Schedule 2C Adjustments'!B54:D54</f>
        <v/>
      </c>
      <c r="C55" s="507"/>
      <c r="D55" s="507"/>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07" t="str">
        <f>'Schedule 2C Adjustments'!B55:D55</f>
        <v/>
      </c>
      <c r="C56" s="507"/>
      <c r="D56" s="507"/>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07" t="str">
        <f>'Schedule 2C Adjustments'!B56:D56</f>
        <v/>
      </c>
      <c r="C57" s="507"/>
      <c r="D57" s="507"/>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07" t="str">
        <f>'Schedule 2C Adjustments'!B57:D57</f>
        <v/>
      </c>
      <c r="C58" s="507"/>
      <c r="D58" s="507"/>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07" t="str">
        <f>'Schedule 2C Adjustments'!B58:D58</f>
        <v/>
      </c>
      <c r="C59" s="507"/>
      <c r="D59" s="507"/>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07" t="str">
        <f>'Schedule 2C Adjustments'!B59:D59</f>
        <v/>
      </c>
      <c r="C60" s="507"/>
      <c r="D60" s="507"/>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07" t="str">
        <f>'Schedule 2C Adjustments'!B60:D60</f>
        <v/>
      </c>
      <c r="C61" s="507"/>
      <c r="D61" s="507"/>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07" t="str">
        <f>'Schedule 2C Adjustments'!B61:D61</f>
        <v/>
      </c>
      <c r="C62" s="507"/>
      <c r="D62" s="507"/>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07" t="str">
        <f>'Schedule 2C Adjustments'!B62:D62</f>
        <v/>
      </c>
      <c r="C63" s="507"/>
      <c r="D63" s="507"/>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07" t="str">
        <f>'Schedule 2C Adjustments'!B63:D63</f>
        <v/>
      </c>
      <c r="C64" s="507"/>
      <c r="D64" s="507"/>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07" t="str">
        <f>'Schedule 2C Adjustments'!B64:D64</f>
        <v/>
      </c>
      <c r="C65" s="507"/>
      <c r="D65" s="507"/>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07" t="str">
        <f>'Schedule 2C Adjustments'!B65:D65</f>
        <v/>
      </c>
      <c r="C66" s="507"/>
      <c r="D66" s="507"/>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07" t="str">
        <f>'Schedule 2C Adjustments'!B66:D66</f>
        <v/>
      </c>
      <c r="C67" s="507"/>
      <c r="D67" s="507"/>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07" t="str">
        <f>'Schedule 2C Adjustments'!B67:D67</f>
        <v/>
      </c>
      <c r="C68" s="507"/>
      <c r="D68" s="507"/>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07" t="str">
        <f>'Schedule 2C Adjustments'!B68:D68</f>
        <v/>
      </c>
      <c r="C69" s="507"/>
      <c r="D69" s="507"/>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07" t="str">
        <f>'Schedule 2C Adjustments'!B69:D69</f>
        <v/>
      </c>
      <c r="C70" s="507"/>
      <c r="D70" s="507"/>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07" t="str">
        <f>'Schedule 2C Adjustments'!B70:D70</f>
        <v/>
      </c>
      <c r="C71" s="507"/>
      <c r="D71" s="507"/>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07" t="str">
        <f>'Schedule 2C Adjustments'!B71:D71</f>
        <v/>
      </c>
      <c r="C72" s="507"/>
      <c r="D72" s="507"/>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07" t="str">
        <f>'Schedule 2C Adjustments'!B72:D72</f>
        <v/>
      </c>
      <c r="C73" s="507"/>
      <c r="D73" s="507"/>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15089308.044402834</v>
      </c>
      <c r="G74" s="18">
        <f t="shared" ref="G74:H74" si="2">SUM(G16:G73)</f>
        <v>6789429.3244195571</v>
      </c>
      <c r="H74" s="18">
        <f t="shared" si="2"/>
        <v>21878737.368822396</v>
      </c>
      <c r="J74" s="18">
        <f>SUM(J16:J73)</f>
        <v>1243017.581092068</v>
      </c>
      <c r="K74" s="18">
        <f>SUM(K16:K73)</f>
        <v>559295.36271651764</v>
      </c>
      <c r="L74" s="18">
        <f>SUM(L16:L73)</f>
        <v>1802312.9438085854</v>
      </c>
      <c r="O74" s="83" t="s">
        <v>313</v>
      </c>
    </row>
    <row r="75" spans="1:15" ht="15" thickBot="1" x14ac:dyDescent="0.4">
      <c r="H75" s="37" t="s">
        <v>257</v>
      </c>
      <c r="L75" s="37" t="s">
        <v>258</v>
      </c>
    </row>
    <row r="76" spans="1:15" s="72" customFormat="1" ht="16" thickBot="1" x14ac:dyDescent="0.4">
      <c r="A76" s="24">
        <v>60</v>
      </c>
      <c r="B76" s="73" t="s">
        <v>461</v>
      </c>
      <c r="F76" s="75">
        <f>H74+L74</f>
        <v>23681050.312630981</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pageSetUpPr fitToPage="1"/>
  </sheetPr>
  <dimension ref="A1:O76"/>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488" t="s">
        <v>696</v>
      </c>
      <c r="B3" s="488"/>
      <c r="C3" s="488"/>
      <c r="D3" s="488"/>
      <c r="E3" s="488"/>
      <c r="F3" s="488"/>
      <c r="G3" s="488"/>
      <c r="H3" s="488"/>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2D Adjustments'!B15:D15</f>
        <v>2040 - WRAP</v>
      </c>
      <c r="C16" s="507"/>
      <c r="D16" s="507"/>
      <c r="F16" s="117">
        <f>'Schedule 2D Adjustments'!H15</f>
        <v>636452.86971926864</v>
      </c>
      <c r="G16" s="68">
        <f>'Schedule 2D Adjustments'!J15</f>
        <v>286371.76499858475</v>
      </c>
      <c r="H16" s="68">
        <f>SUM(F16:G16)</f>
        <v>922824.63471785339</v>
      </c>
      <c r="J16" s="117">
        <f>'Schedule 2D Adjustments'!P15</f>
        <v>0</v>
      </c>
      <c r="K16" s="68">
        <f>'Schedule 2D Adjustments'!R15</f>
        <v>0</v>
      </c>
      <c r="L16" s="68">
        <f>SUM(J16:K16)</f>
        <v>0</v>
      </c>
      <c r="N16" s="120">
        <f>'Schedule 2D Adjustments'!X15</f>
        <v>4.66</v>
      </c>
      <c r="O16" s="120">
        <f>'Schedule 2D Adjustments'!AA15</f>
        <v>121</v>
      </c>
    </row>
    <row r="17" spans="1:15" x14ac:dyDescent="0.35">
      <c r="A17" s="24">
        <v>2</v>
      </c>
      <c r="B17" s="507" t="str">
        <f>'Schedule 2D Adjustments'!B16:D16</f>
        <v>2562 - COMB OBHS</v>
      </c>
      <c r="C17" s="507"/>
      <c r="D17" s="507"/>
      <c r="F17" s="117">
        <f>'Schedule 2D Adjustments'!H16</f>
        <v>513586.63763279462</v>
      </c>
      <c r="G17" s="68">
        <f>'Schedule 2D Adjustments'!J16</f>
        <v>231088.14320134284</v>
      </c>
      <c r="H17" s="68">
        <f t="shared" ref="H17:H73" si="0">SUM(F17:G17)</f>
        <v>744674.78083413746</v>
      </c>
      <c r="J17" s="117">
        <f>'Schedule 2D Adjustments'!P16</f>
        <v>0</v>
      </c>
      <c r="K17" s="68">
        <f>'Schedule 2D Adjustments'!R16</f>
        <v>0</v>
      </c>
      <c r="L17" s="68">
        <f t="shared" ref="L17:L73" si="1">SUM(J17:K17)</f>
        <v>0</v>
      </c>
      <c r="N17" s="120">
        <f>'Schedule 2D Adjustments'!X16</f>
        <v>3.6666666666666665</v>
      </c>
      <c r="O17" s="120">
        <f>'Schedule 2D Adjustments'!AA16</f>
        <v>541</v>
      </c>
    </row>
    <row r="18" spans="1:15" x14ac:dyDescent="0.35">
      <c r="A18" s="24">
        <v>3</v>
      </c>
      <c r="B18" s="507" t="str">
        <f>'Schedule 2D Adjustments'!B17:D17</f>
        <v>2564 - COMB ASSERTIVE COMMUNITY TREATMENT (ACT)</v>
      </c>
      <c r="C18" s="507"/>
      <c r="D18" s="507"/>
      <c r="F18" s="117">
        <f>'Schedule 2D Adjustments'!H17</f>
        <v>1344562.2427997645</v>
      </c>
      <c r="G18" s="68">
        <f>'Schedule 2D Adjustments'!J17</f>
        <v>604985.35074696504</v>
      </c>
      <c r="H18" s="68">
        <f t="shared" si="0"/>
        <v>1949547.5935467295</v>
      </c>
      <c r="J18" s="117">
        <f>'Schedule 2D Adjustments'!P17</f>
        <v>268.72000000000003</v>
      </c>
      <c r="K18" s="68">
        <f>'Schedule 2D Adjustments'!R17</f>
        <v>120.91047798144592</v>
      </c>
      <c r="L18" s="68">
        <f t="shared" si="1"/>
        <v>389.63047798144595</v>
      </c>
      <c r="N18" s="120">
        <f>'Schedule 2D Adjustments'!X17</f>
        <v>9.7083333333333339</v>
      </c>
      <c r="O18" s="120">
        <f>'Schedule 2D Adjustments'!AA17</f>
        <v>96</v>
      </c>
    </row>
    <row r="19" spans="1:15" x14ac:dyDescent="0.35">
      <c r="A19" s="24">
        <v>4</v>
      </c>
      <c r="B19" s="507" t="str">
        <f>'Schedule 2D Adjustments'!B18:D18</f>
        <v>2570 - COMB ASCENT</v>
      </c>
      <c r="C19" s="507"/>
      <c r="D19" s="507"/>
      <c r="F19" s="117">
        <f>'Schedule 2D Adjustments'!H18</f>
        <v>345009.79153986258</v>
      </c>
      <c r="G19" s="68">
        <f>'Schedule 2D Adjustments'!J18</f>
        <v>155237.04526408081</v>
      </c>
      <c r="H19" s="68">
        <f t="shared" si="0"/>
        <v>500246.83680394338</v>
      </c>
      <c r="J19" s="117">
        <f>'Schedule 2D Adjustments'!P18</f>
        <v>116388.84533874881</v>
      </c>
      <c r="K19" s="68">
        <f>'Schedule 2D Adjustments'!R18</f>
        <v>52369.12370354533</v>
      </c>
      <c r="L19" s="68">
        <f t="shared" si="1"/>
        <v>168757.96904229413</v>
      </c>
      <c r="N19" s="120">
        <f>'Schedule 2D Adjustments'!X18</f>
        <v>3.3333333333333344</v>
      </c>
      <c r="O19" s="120">
        <f>'Schedule 2D Adjustments'!AA18</f>
        <v>33</v>
      </c>
    </row>
    <row r="20" spans="1:15" x14ac:dyDescent="0.35">
      <c r="A20" s="24">
        <v>5</v>
      </c>
      <c r="B20" s="507" t="str">
        <f>'Schedule 2D Adjustments'!B19:D19</f>
        <v>2577 - COMB CCHA HIOP</v>
      </c>
      <c r="C20" s="507"/>
      <c r="D20" s="507"/>
      <c r="F20" s="117">
        <f>'Schedule 2D Adjustments'!H19</f>
        <v>20646.32502372381</v>
      </c>
      <c r="G20" s="68">
        <f>'Schedule 2D Adjustments'!J19</f>
        <v>9289.8073354373828</v>
      </c>
      <c r="H20" s="68">
        <f t="shared" si="0"/>
        <v>29936.132359161194</v>
      </c>
      <c r="J20" s="117">
        <f>'Schedule 2D Adjustments'!P19</f>
        <v>99861.387496095078</v>
      </c>
      <c r="K20" s="68">
        <f>'Schedule 2D Adjustments'!R19</f>
        <v>44932.599337761392</v>
      </c>
      <c r="L20" s="68">
        <f t="shared" si="1"/>
        <v>144793.98683385647</v>
      </c>
      <c r="N20" s="120">
        <f>'Schedule 2D Adjustments'!X19</f>
        <v>0.42</v>
      </c>
      <c r="O20" s="120">
        <f>'Schedule 2D Adjustments'!AA19</f>
        <v>18</v>
      </c>
    </row>
    <row r="21" spans="1:15" x14ac:dyDescent="0.35">
      <c r="A21" s="24">
        <v>6</v>
      </c>
      <c r="B21" s="507" t="str">
        <f>'Schedule 2D Adjustments'!B20:D20</f>
        <v xml:space="preserve">5041 - ADULT IMH IOP      </v>
      </c>
      <c r="C21" s="507"/>
      <c r="D21" s="507"/>
      <c r="F21" s="117">
        <f>'Schedule 2D Adjustments'!H20</f>
        <v>147126.1369880136</v>
      </c>
      <c r="G21" s="68">
        <f>'Schedule 2D Adjustments'!J20</f>
        <v>66199.35824197832</v>
      </c>
      <c r="H21" s="68">
        <f t="shared" si="0"/>
        <v>213325.49522999191</v>
      </c>
      <c r="J21" s="117">
        <f>'Schedule 2D Adjustments'!P20</f>
        <v>0</v>
      </c>
      <c r="K21" s="68">
        <f>'Schedule 2D Adjustments'!R20</f>
        <v>0</v>
      </c>
      <c r="L21" s="68">
        <f t="shared" si="1"/>
        <v>0</v>
      </c>
      <c r="N21" s="120">
        <f>'Schedule 2D Adjustments'!X20</f>
        <v>1.5166666666666666</v>
      </c>
      <c r="O21" s="120">
        <f>'Schedule 2D Adjustments'!AA20</f>
        <v>99</v>
      </c>
    </row>
    <row r="22" spans="1:15" x14ac:dyDescent="0.35">
      <c r="A22" s="24">
        <v>7</v>
      </c>
      <c r="B22" s="507" t="str">
        <f>'Schedule 2D Adjustments'!B21:D21</f>
        <v>6041 - ADOLESCENT IOP</v>
      </c>
      <c r="C22" s="507"/>
      <c r="D22" s="507"/>
      <c r="F22" s="117">
        <f>'Schedule 2D Adjustments'!H21</f>
        <v>806342.43083753006</v>
      </c>
      <c r="G22" s="68">
        <f>'Schedule 2D Adjustments'!J21</f>
        <v>362813.5186412874</v>
      </c>
      <c r="H22" s="68">
        <f t="shared" si="0"/>
        <v>1169155.9494788174</v>
      </c>
      <c r="J22" s="117">
        <f>'Schedule 2D Adjustments'!P21</f>
        <v>0</v>
      </c>
      <c r="K22" s="68">
        <f>'Schedule 2D Adjustments'!R21</f>
        <v>0</v>
      </c>
      <c r="L22" s="68">
        <f t="shared" si="1"/>
        <v>0</v>
      </c>
      <c r="N22" s="120">
        <f>'Schedule 2D Adjustments'!X21</f>
        <v>5.99</v>
      </c>
      <c r="O22" s="120">
        <f>'Schedule 2D Adjustments'!AA21</f>
        <v>224</v>
      </c>
    </row>
    <row r="23" spans="1:15" x14ac:dyDescent="0.35">
      <c r="A23" s="24">
        <v>8</v>
      </c>
      <c r="B23" s="507" t="str">
        <f>'Schedule 2D Adjustments'!B22:D22</f>
        <v/>
      </c>
      <c r="C23" s="507"/>
      <c r="D23" s="507"/>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07" t="str">
        <f>'Schedule 2D Adjustments'!B23:D23</f>
        <v/>
      </c>
      <c r="C24" s="507"/>
      <c r="D24" s="507"/>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07" t="str">
        <f>'Schedule 2D Adjustments'!B24:D24</f>
        <v/>
      </c>
      <c r="C25" s="507"/>
      <c r="D25" s="507"/>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07" t="str">
        <f>'Schedule 2D Adjustments'!B25:D25</f>
        <v/>
      </c>
      <c r="C26" s="507"/>
      <c r="D26" s="507"/>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07" t="str">
        <f>'Schedule 2D Adjustments'!B26:D26</f>
        <v/>
      </c>
      <c r="C27" s="507"/>
      <c r="D27" s="507"/>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07" t="str">
        <f>'Schedule 2D Adjustments'!B27:D27</f>
        <v/>
      </c>
      <c r="C28" s="507"/>
      <c r="D28" s="507"/>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07" t="str">
        <f>'Schedule 2D Adjustments'!B28:D28</f>
        <v/>
      </c>
      <c r="C29" s="507"/>
      <c r="D29" s="507"/>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07" t="str">
        <f>'Schedule 2D Adjustments'!B29:D29</f>
        <v/>
      </c>
      <c r="C30" s="507"/>
      <c r="D30" s="507"/>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07" t="str">
        <f>'Schedule 2D Adjustments'!B30:D30</f>
        <v/>
      </c>
      <c r="C31" s="507"/>
      <c r="D31" s="507"/>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07" t="str">
        <f>'Schedule 2D Adjustments'!B31:D31</f>
        <v/>
      </c>
      <c r="C32" s="507"/>
      <c r="D32" s="507"/>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07" t="str">
        <f>'Schedule 2D Adjustments'!B32:D32</f>
        <v/>
      </c>
      <c r="C33" s="507"/>
      <c r="D33" s="507"/>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07" t="str">
        <f>'Schedule 2D Adjustments'!B33:D33</f>
        <v/>
      </c>
      <c r="C34" s="507"/>
      <c r="D34" s="507"/>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07" t="str">
        <f>'Schedule 2D Adjustments'!B34:D34</f>
        <v/>
      </c>
      <c r="C35" s="507"/>
      <c r="D35" s="507"/>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07" t="str">
        <f>'Schedule 2D Adjustments'!B35:D35</f>
        <v/>
      </c>
      <c r="C36" s="507"/>
      <c r="D36" s="507"/>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07" t="str">
        <f>'Schedule 2D Adjustments'!B36:D36</f>
        <v/>
      </c>
      <c r="C37" s="507"/>
      <c r="D37" s="507"/>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07" t="str">
        <f>'Schedule 2D Adjustments'!B37:D37</f>
        <v/>
      </c>
      <c r="C38" s="507"/>
      <c r="D38" s="507"/>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07" t="str">
        <f>'Schedule 2D Adjustments'!B38:D38</f>
        <v/>
      </c>
      <c r="C39" s="507"/>
      <c r="D39" s="507"/>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07" t="str">
        <f>'Schedule 2D Adjustments'!B39:D39</f>
        <v/>
      </c>
      <c r="C40" s="507"/>
      <c r="D40" s="507"/>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07" t="str">
        <f>'Schedule 2D Adjustments'!B40:D40</f>
        <v/>
      </c>
      <c r="C41" s="507"/>
      <c r="D41" s="507"/>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07" t="str">
        <f>'Schedule 2D Adjustments'!B41:D41</f>
        <v/>
      </c>
      <c r="C42" s="507"/>
      <c r="D42" s="507"/>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07" t="str">
        <f>'Schedule 2D Adjustments'!B42:D42</f>
        <v/>
      </c>
      <c r="C43" s="507"/>
      <c r="D43" s="507"/>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07" t="str">
        <f>'Schedule 2D Adjustments'!B43:D43</f>
        <v/>
      </c>
      <c r="C44" s="507"/>
      <c r="D44" s="507"/>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07" t="str">
        <f>'Schedule 2D Adjustments'!B44:D44</f>
        <v/>
      </c>
      <c r="C45" s="507"/>
      <c r="D45" s="507"/>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07" t="str">
        <f>'Schedule 2D Adjustments'!B45:D45</f>
        <v/>
      </c>
      <c r="C46" s="507"/>
      <c r="D46" s="507"/>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07" t="str">
        <f>'Schedule 2D Adjustments'!B46:D46</f>
        <v/>
      </c>
      <c r="C47" s="507"/>
      <c r="D47" s="507"/>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07" t="str">
        <f>'Schedule 2D Adjustments'!B47:D47</f>
        <v/>
      </c>
      <c r="C48" s="507"/>
      <c r="D48" s="507"/>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07" t="str">
        <f>'Schedule 2D Adjustments'!B48:D48</f>
        <v/>
      </c>
      <c r="C49" s="507"/>
      <c r="D49" s="507"/>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07" t="str">
        <f>'Schedule 2D Adjustments'!B49:D49</f>
        <v/>
      </c>
      <c r="C50" s="507"/>
      <c r="D50" s="507"/>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07" t="str">
        <f>'Schedule 2D Adjustments'!B50:D50</f>
        <v/>
      </c>
      <c r="C51" s="507"/>
      <c r="D51" s="507"/>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07" t="str">
        <f>'Schedule 2D Adjustments'!B51:D51</f>
        <v/>
      </c>
      <c r="C52" s="507"/>
      <c r="D52" s="507"/>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07" t="str">
        <f>'Schedule 2D Adjustments'!B52:D52</f>
        <v/>
      </c>
      <c r="C53" s="507"/>
      <c r="D53" s="507"/>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07" t="str">
        <f>'Schedule 2D Adjustments'!B53:D53</f>
        <v/>
      </c>
      <c r="C54" s="507"/>
      <c r="D54" s="507"/>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07" t="str">
        <f>'Schedule 2D Adjustments'!B54:D54</f>
        <v/>
      </c>
      <c r="C55" s="507"/>
      <c r="D55" s="507"/>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07" t="str">
        <f>'Schedule 2D Adjustments'!B55:D55</f>
        <v/>
      </c>
      <c r="C56" s="507"/>
      <c r="D56" s="507"/>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07" t="str">
        <f>'Schedule 2D Adjustments'!B56:D56</f>
        <v/>
      </c>
      <c r="C57" s="507"/>
      <c r="D57" s="507"/>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07" t="str">
        <f>'Schedule 2D Adjustments'!B57:D57</f>
        <v/>
      </c>
      <c r="C58" s="507"/>
      <c r="D58" s="507"/>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07" t="str">
        <f>'Schedule 2D Adjustments'!B58:D58</f>
        <v/>
      </c>
      <c r="C59" s="507"/>
      <c r="D59" s="507"/>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07" t="str">
        <f>'Schedule 2D Adjustments'!B59:D59</f>
        <v/>
      </c>
      <c r="C60" s="507"/>
      <c r="D60" s="507"/>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07" t="str">
        <f>'Schedule 2D Adjustments'!B60:D60</f>
        <v/>
      </c>
      <c r="C61" s="507"/>
      <c r="D61" s="507"/>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07" t="str">
        <f>'Schedule 2D Adjustments'!B61:D61</f>
        <v/>
      </c>
      <c r="C62" s="507"/>
      <c r="D62" s="507"/>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07" t="str">
        <f>'Schedule 2D Adjustments'!B62:D62</f>
        <v/>
      </c>
      <c r="C63" s="507"/>
      <c r="D63" s="507"/>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07" t="str">
        <f>'Schedule 2D Adjustments'!B63:D63</f>
        <v/>
      </c>
      <c r="C64" s="507"/>
      <c r="D64" s="507"/>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07" t="str">
        <f>'Schedule 2D Adjustments'!B64:D64</f>
        <v/>
      </c>
      <c r="C65" s="507"/>
      <c r="D65" s="507"/>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07" t="str">
        <f>'Schedule 2D Adjustments'!B65:D65</f>
        <v/>
      </c>
      <c r="C66" s="507"/>
      <c r="D66" s="507"/>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07" t="str">
        <f>'Schedule 2D Adjustments'!B66:D66</f>
        <v/>
      </c>
      <c r="C67" s="507"/>
      <c r="D67" s="507"/>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07" t="str">
        <f>'Schedule 2D Adjustments'!B67:D67</f>
        <v/>
      </c>
      <c r="C68" s="507"/>
      <c r="D68" s="507"/>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07" t="str">
        <f>'Schedule 2D Adjustments'!B68:D68</f>
        <v/>
      </c>
      <c r="C69" s="507"/>
      <c r="D69" s="507"/>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07" t="str">
        <f>'Schedule 2D Adjustments'!B69:D69</f>
        <v/>
      </c>
      <c r="C70" s="507"/>
      <c r="D70" s="507"/>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07" t="str">
        <f>'Schedule 2D Adjustments'!B70:D70</f>
        <v/>
      </c>
      <c r="C71" s="507"/>
      <c r="D71" s="507"/>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07" t="str">
        <f>'Schedule 2D Adjustments'!B71:D71</f>
        <v/>
      </c>
      <c r="C72" s="507"/>
      <c r="D72" s="507"/>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07" t="str">
        <f>'Schedule 2D Adjustments'!B72:D72</f>
        <v/>
      </c>
      <c r="C73" s="507"/>
      <c r="D73" s="507"/>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3813726.4345409581</v>
      </c>
      <c r="G74" s="18">
        <f t="shared" ref="G74:H74" si="2">SUM(G16:G73)</f>
        <v>1715984.9884296765</v>
      </c>
      <c r="H74" s="18">
        <f t="shared" si="2"/>
        <v>5529711.422970634</v>
      </c>
      <c r="J74" s="18">
        <f>SUM(J16:J73)</f>
        <v>216518.95283484389</v>
      </c>
      <c r="K74" s="18">
        <f t="shared" ref="K74:L74" si="3">SUM(K16:K73)</f>
        <v>97422.633519288167</v>
      </c>
      <c r="L74" s="18">
        <f t="shared" si="3"/>
        <v>313941.58635413204</v>
      </c>
      <c r="O74" s="83" t="s">
        <v>313</v>
      </c>
    </row>
    <row r="75" spans="1:15" ht="15" thickBot="1" x14ac:dyDescent="0.4">
      <c r="H75" s="37" t="s">
        <v>257</v>
      </c>
      <c r="L75" s="37" t="s">
        <v>258</v>
      </c>
    </row>
    <row r="76" spans="1:15" s="72" customFormat="1" ht="16" thickBot="1" x14ac:dyDescent="0.4">
      <c r="A76" s="24">
        <v>60</v>
      </c>
      <c r="B76" s="73" t="s">
        <v>462</v>
      </c>
      <c r="F76" s="75">
        <f>H74+L74</f>
        <v>5843653.0093247658</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6"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08984375" defaultRowHeight="14.5" x14ac:dyDescent="0.35"/>
  <cols>
    <col min="1" max="1" width="9.54296875" customWidth="1"/>
    <col min="2" max="2" width="18.453125" customWidth="1"/>
    <col min="3" max="3" width="19.453125" customWidth="1"/>
    <col min="4" max="4" width="17.089843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848</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810</v>
      </c>
      <c r="C9" s="1"/>
      <c r="F9" s="119" t="str">
        <f>'Schedule 2E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2E Adjustments'!B15:D15</f>
        <v/>
      </c>
      <c r="C16" s="507"/>
      <c r="D16" s="507"/>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07" t="str">
        <f>'Schedule 2E Adjustments'!B16:D16</f>
        <v/>
      </c>
      <c r="C17" s="507"/>
      <c r="D17" s="507"/>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07" t="str">
        <f>'Schedule 2E Adjustments'!B17:D17</f>
        <v/>
      </c>
      <c r="C18" s="507"/>
      <c r="D18" s="507"/>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07" t="str">
        <f>'Schedule 2E Adjustments'!B18:D18</f>
        <v/>
      </c>
      <c r="C19" s="507"/>
      <c r="D19" s="507"/>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07" t="str">
        <f>'Schedule 2E Adjustments'!B19:D19</f>
        <v/>
      </c>
      <c r="C20" s="507"/>
      <c r="D20" s="507"/>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07" t="str">
        <f>'Schedule 2E Adjustments'!B20:D20</f>
        <v/>
      </c>
      <c r="C21" s="507"/>
      <c r="D21" s="507"/>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07" t="str">
        <f>'Schedule 2E Adjustments'!B21:D21</f>
        <v/>
      </c>
      <c r="C22" s="507"/>
      <c r="D22" s="507"/>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07" t="str">
        <f>'Schedule 2E Adjustments'!B22:D22</f>
        <v/>
      </c>
      <c r="C23" s="507"/>
      <c r="D23" s="507"/>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07" t="str">
        <f>'Schedule 2E Adjustments'!B23:D23</f>
        <v/>
      </c>
      <c r="C24" s="507"/>
      <c r="D24" s="507"/>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07" t="str">
        <f>'Schedule 2E Adjustments'!B24:D24</f>
        <v/>
      </c>
      <c r="C25" s="507"/>
      <c r="D25" s="507"/>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07" t="str">
        <f>'Schedule 2E Adjustments'!B25:D25</f>
        <v/>
      </c>
      <c r="C26" s="507"/>
      <c r="D26" s="507"/>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07" t="str">
        <f>'Schedule 2E Adjustments'!B26:D26</f>
        <v/>
      </c>
      <c r="C27" s="507"/>
      <c r="D27" s="507"/>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07" t="str">
        <f>'Schedule 2E Adjustments'!B27:D27</f>
        <v/>
      </c>
      <c r="C28" s="507"/>
      <c r="D28" s="507"/>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07" t="str">
        <f>'Schedule 2E Adjustments'!B28:D28</f>
        <v/>
      </c>
      <c r="C29" s="507"/>
      <c r="D29" s="507"/>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07" t="str">
        <f>'Schedule 2E Adjustments'!B29:D29</f>
        <v/>
      </c>
      <c r="C30" s="507"/>
      <c r="D30" s="507"/>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07" t="str">
        <f>'Schedule 2E Adjustments'!B30:D30</f>
        <v/>
      </c>
      <c r="C31" s="507"/>
      <c r="D31" s="507"/>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07" t="str">
        <f>'Schedule 2E Adjustments'!B31:D31</f>
        <v/>
      </c>
      <c r="C32" s="507"/>
      <c r="D32" s="507"/>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07" t="str">
        <f>'Schedule 2E Adjustments'!B32:D32</f>
        <v/>
      </c>
      <c r="C33" s="507"/>
      <c r="D33" s="507"/>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07" t="str">
        <f>'Schedule 2E Adjustments'!B33:D33</f>
        <v/>
      </c>
      <c r="C34" s="507"/>
      <c r="D34" s="507"/>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07" t="str">
        <f>'Schedule 2E Adjustments'!B34:D34</f>
        <v/>
      </c>
      <c r="C35" s="507"/>
      <c r="D35" s="507"/>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07" t="str">
        <f>'Schedule 2E Adjustments'!B35:D35</f>
        <v/>
      </c>
      <c r="C36" s="507"/>
      <c r="D36" s="507"/>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07" t="str">
        <f>'Schedule 2E Adjustments'!B36:D36</f>
        <v/>
      </c>
      <c r="C37" s="507"/>
      <c r="D37" s="507"/>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07" t="str">
        <f>'Schedule 2E Adjustments'!B37:D37</f>
        <v/>
      </c>
      <c r="C38" s="507"/>
      <c r="D38" s="507"/>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07" t="str">
        <f>'Schedule 2E Adjustments'!B38:D38</f>
        <v/>
      </c>
      <c r="C39" s="507"/>
      <c r="D39" s="507"/>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07" t="str">
        <f>'Schedule 2E Adjustments'!B39:D39</f>
        <v/>
      </c>
      <c r="C40" s="507"/>
      <c r="D40" s="507"/>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07" t="str">
        <f>'Schedule 2E Adjustments'!B40:D40</f>
        <v/>
      </c>
      <c r="C41" s="507"/>
      <c r="D41" s="507"/>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07" t="str">
        <f>'Schedule 2E Adjustments'!B41:D41</f>
        <v/>
      </c>
      <c r="C42" s="507"/>
      <c r="D42" s="507"/>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07" t="str">
        <f>'Schedule 2E Adjustments'!B42:D42</f>
        <v/>
      </c>
      <c r="C43" s="507"/>
      <c r="D43" s="507"/>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07" t="str">
        <f>'Schedule 2E Adjustments'!B43:D43</f>
        <v/>
      </c>
      <c r="C44" s="507"/>
      <c r="D44" s="507"/>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07" t="str">
        <f>'Schedule 2E Adjustments'!B44:D44</f>
        <v/>
      </c>
      <c r="C45" s="507"/>
      <c r="D45" s="507"/>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07" t="str">
        <f>'Schedule 2E Adjustments'!B45:D45</f>
        <v/>
      </c>
      <c r="C46" s="507"/>
      <c r="D46" s="507"/>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07" t="str">
        <f>'Schedule 2E Adjustments'!B46:D46</f>
        <v/>
      </c>
      <c r="C47" s="507"/>
      <c r="D47" s="507"/>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07" t="str">
        <f>'Schedule 2E Adjustments'!B47:D47</f>
        <v/>
      </c>
      <c r="C48" s="507"/>
      <c r="D48" s="507"/>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07" t="str">
        <f>'Schedule 2E Adjustments'!B48:D48</f>
        <v/>
      </c>
      <c r="C49" s="507"/>
      <c r="D49" s="507"/>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07" t="str">
        <f>'Schedule 2E Adjustments'!B49:D49</f>
        <v/>
      </c>
      <c r="C50" s="507"/>
      <c r="D50" s="507"/>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07" t="str">
        <f>'Schedule 2E Adjustments'!B50:D50</f>
        <v/>
      </c>
      <c r="C51" s="507"/>
      <c r="D51" s="507"/>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07" t="str">
        <f>'Schedule 2E Adjustments'!B51:D51</f>
        <v/>
      </c>
      <c r="C52" s="507"/>
      <c r="D52" s="507"/>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07" t="str">
        <f>'Schedule 2E Adjustments'!B52:D52</f>
        <v/>
      </c>
      <c r="C53" s="507"/>
      <c r="D53" s="507"/>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07" t="str">
        <f>'Schedule 2E Adjustments'!B53:D53</f>
        <v/>
      </c>
      <c r="C54" s="507"/>
      <c r="D54" s="507"/>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07" t="str">
        <f>'Schedule 2E Adjustments'!B54:D54</f>
        <v/>
      </c>
      <c r="C55" s="507"/>
      <c r="D55" s="507"/>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07" t="str">
        <f>'Schedule 2E Adjustments'!B55:D55</f>
        <v/>
      </c>
      <c r="C56" s="507"/>
      <c r="D56" s="507"/>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07" t="str">
        <f>'Schedule 2E Adjustments'!B56:D56</f>
        <v/>
      </c>
      <c r="C57" s="507"/>
      <c r="D57" s="507"/>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07" t="str">
        <f>'Schedule 2E Adjustments'!B57:D57</f>
        <v/>
      </c>
      <c r="C58" s="507"/>
      <c r="D58" s="507"/>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07" t="str">
        <f>'Schedule 2E Adjustments'!B58:D58</f>
        <v/>
      </c>
      <c r="C59" s="507"/>
      <c r="D59" s="507"/>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07" t="str">
        <f>'Schedule 2E Adjustments'!B59:D59</f>
        <v/>
      </c>
      <c r="C60" s="507"/>
      <c r="D60" s="507"/>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07" t="str">
        <f>'Schedule 2E Adjustments'!B60:D60</f>
        <v/>
      </c>
      <c r="C61" s="507"/>
      <c r="D61" s="507"/>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07" t="str">
        <f>'Schedule 2E Adjustments'!B61:D61</f>
        <v/>
      </c>
      <c r="C62" s="507"/>
      <c r="D62" s="507"/>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07" t="str">
        <f>'Schedule 2E Adjustments'!B62:D62</f>
        <v/>
      </c>
      <c r="C63" s="507"/>
      <c r="D63" s="507"/>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07" t="str">
        <f>'Schedule 2E Adjustments'!B63:D63</f>
        <v/>
      </c>
      <c r="C64" s="507"/>
      <c r="D64" s="507"/>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07" t="str">
        <f>'Schedule 2E Adjustments'!B64:D64</f>
        <v/>
      </c>
      <c r="C65" s="507"/>
      <c r="D65" s="507"/>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07" t="str">
        <f>'Schedule 2E Adjustments'!B65:D65</f>
        <v/>
      </c>
      <c r="C66" s="507"/>
      <c r="D66" s="507"/>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07" t="str">
        <f>'Schedule 2E Adjustments'!B66:D66</f>
        <v/>
      </c>
      <c r="C67" s="507"/>
      <c r="D67" s="507"/>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07" t="str">
        <f>'Schedule 2E Adjustments'!B67:D67</f>
        <v/>
      </c>
      <c r="C68" s="507"/>
      <c r="D68" s="507"/>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07" t="str">
        <f>'Schedule 2E Adjustments'!B68:D68</f>
        <v/>
      </c>
      <c r="C69" s="507"/>
      <c r="D69" s="507"/>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07" t="str">
        <f>'Schedule 2E Adjustments'!B69:D69</f>
        <v/>
      </c>
      <c r="C70" s="507"/>
      <c r="D70" s="507"/>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07" t="str">
        <f>'Schedule 2E Adjustments'!B70:D70</f>
        <v/>
      </c>
      <c r="C71" s="507"/>
      <c r="D71" s="507"/>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07" t="str">
        <f>'Schedule 2E Adjustments'!B71:D71</f>
        <v/>
      </c>
      <c r="C72" s="507"/>
      <c r="D72" s="507"/>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07" t="str">
        <f>'Schedule 2E Adjustments'!B72:D72</f>
        <v/>
      </c>
      <c r="C73" s="507"/>
      <c r="D73" s="507"/>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849</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813</v>
      </c>
      <c r="C9" s="1"/>
      <c r="F9" s="119" t="str">
        <f>'Schedule 2F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2F Adjustments'!B15:D15</f>
        <v/>
      </c>
      <c r="C16" s="507"/>
      <c r="D16" s="507"/>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07" t="str">
        <f>'Schedule 2F Adjustments'!B16:D16</f>
        <v/>
      </c>
      <c r="C17" s="507"/>
      <c r="D17" s="507"/>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07" t="str">
        <f>'Schedule 2F Adjustments'!B17:D17</f>
        <v/>
      </c>
      <c r="C18" s="507"/>
      <c r="D18" s="507"/>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07" t="str">
        <f>'Schedule 2F Adjustments'!B18:D18</f>
        <v/>
      </c>
      <c r="C19" s="507"/>
      <c r="D19" s="507"/>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07" t="str">
        <f>'Schedule 2F Adjustments'!B19:D19</f>
        <v/>
      </c>
      <c r="C20" s="507"/>
      <c r="D20" s="507"/>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07" t="str">
        <f>'Schedule 2F Adjustments'!B20:D20</f>
        <v/>
      </c>
      <c r="C21" s="507"/>
      <c r="D21" s="507"/>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07" t="str">
        <f>'Schedule 2F Adjustments'!B21:D21</f>
        <v/>
      </c>
      <c r="C22" s="507"/>
      <c r="D22" s="507"/>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07" t="str">
        <f>'Schedule 2F Adjustments'!B22:D22</f>
        <v/>
      </c>
      <c r="C23" s="507"/>
      <c r="D23" s="507"/>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07" t="str">
        <f>'Schedule 2F Adjustments'!B23:D23</f>
        <v/>
      </c>
      <c r="C24" s="507"/>
      <c r="D24" s="507"/>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07" t="str">
        <f>'Schedule 2F Adjustments'!B24:D24</f>
        <v/>
      </c>
      <c r="C25" s="507"/>
      <c r="D25" s="507"/>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07" t="str">
        <f>'Schedule 2F Adjustments'!B25:D25</f>
        <v/>
      </c>
      <c r="C26" s="507"/>
      <c r="D26" s="507"/>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07" t="str">
        <f>'Schedule 2F Adjustments'!B26:D26</f>
        <v/>
      </c>
      <c r="C27" s="507"/>
      <c r="D27" s="507"/>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07" t="str">
        <f>'Schedule 2F Adjustments'!B27:D27</f>
        <v/>
      </c>
      <c r="C28" s="507"/>
      <c r="D28" s="507"/>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07" t="str">
        <f>'Schedule 2F Adjustments'!B28:D28</f>
        <v/>
      </c>
      <c r="C29" s="507"/>
      <c r="D29" s="507"/>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07" t="str">
        <f>'Schedule 2F Adjustments'!B29:D29</f>
        <v/>
      </c>
      <c r="C30" s="507"/>
      <c r="D30" s="507"/>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07" t="str">
        <f>'Schedule 2F Adjustments'!B30:D30</f>
        <v/>
      </c>
      <c r="C31" s="507"/>
      <c r="D31" s="507"/>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07" t="str">
        <f>'Schedule 2F Adjustments'!B31:D31</f>
        <v/>
      </c>
      <c r="C32" s="507"/>
      <c r="D32" s="507"/>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07" t="str">
        <f>'Schedule 2F Adjustments'!B32:D32</f>
        <v/>
      </c>
      <c r="C33" s="507"/>
      <c r="D33" s="507"/>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07" t="str">
        <f>'Schedule 2F Adjustments'!B33:D33</f>
        <v/>
      </c>
      <c r="C34" s="507"/>
      <c r="D34" s="507"/>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07" t="str">
        <f>'Schedule 2F Adjustments'!B34:D34</f>
        <v/>
      </c>
      <c r="C35" s="507"/>
      <c r="D35" s="507"/>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07" t="str">
        <f>'Schedule 2F Adjustments'!B35:D35</f>
        <v/>
      </c>
      <c r="C36" s="507"/>
      <c r="D36" s="507"/>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07" t="str">
        <f>'Schedule 2F Adjustments'!B36:D36</f>
        <v/>
      </c>
      <c r="C37" s="507"/>
      <c r="D37" s="507"/>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07" t="str">
        <f>'Schedule 2F Adjustments'!B37:D37</f>
        <v/>
      </c>
      <c r="C38" s="507"/>
      <c r="D38" s="507"/>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07" t="str">
        <f>'Schedule 2F Adjustments'!B38:D38</f>
        <v/>
      </c>
      <c r="C39" s="507"/>
      <c r="D39" s="507"/>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07" t="str">
        <f>'Schedule 2F Adjustments'!B39:D39</f>
        <v/>
      </c>
      <c r="C40" s="507"/>
      <c r="D40" s="507"/>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07" t="str">
        <f>'Schedule 2F Adjustments'!B40:D40</f>
        <v/>
      </c>
      <c r="C41" s="507"/>
      <c r="D41" s="507"/>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07" t="str">
        <f>'Schedule 2F Adjustments'!B41:D41</f>
        <v/>
      </c>
      <c r="C42" s="507"/>
      <c r="D42" s="507"/>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07" t="str">
        <f>'Schedule 2F Adjustments'!B42:D42</f>
        <v/>
      </c>
      <c r="C43" s="507"/>
      <c r="D43" s="507"/>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07" t="str">
        <f>'Schedule 2F Adjustments'!B43:D43</f>
        <v/>
      </c>
      <c r="C44" s="507"/>
      <c r="D44" s="507"/>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07" t="str">
        <f>'Schedule 2F Adjustments'!B44:D44</f>
        <v/>
      </c>
      <c r="C45" s="507"/>
      <c r="D45" s="507"/>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07" t="str">
        <f>'Schedule 2F Adjustments'!B45:D45</f>
        <v/>
      </c>
      <c r="C46" s="507"/>
      <c r="D46" s="507"/>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07" t="str">
        <f>'Schedule 2F Adjustments'!B46:D46</f>
        <v/>
      </c>
      <c r="C47" s="507"/>
      <c r="D47" s="507"/>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07" t="str">
        <f>'Schedule 2F Adjustments'!B47:D47</f>
        <v/>
      </c>
      <c r="C48" s="507"/>
      <c r="D48" s="507"/>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07" t="str">
        <f>'Schedule 2F Adjustments'!B48:D48</f>
        <v/>
      </c>
      <c r="C49" s="507"/>
      <c r="D49" s="507"/>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07" t="str">
        <f>'Schedule 2F Adjustments'!B49:D49</f>
        <v/>
      </c>
      <c r="C50" s="507"/>
      <c r="D50" s="507"/>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07" t="str">
        <f>'Schedule 2F Adjustments'!B50:D50</f>
        <v/>
      </c>
      <c r="C51" s="507"/>
      <c r="D51" s="507"/>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07" t="str">
        <f>'Schedule 2F Adjustments'!B51:D51</f>
        <v/>
      </c>
      <c r="C52" s="507"/>
      <c r="D52" s="507"/>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07" t="str">
        <f>'Schedule 2F Adjustments'!B52:D52</f>
        <v/>
      </c>
      <c r="C53" s="507"/>
      <c r="D53" s="507"/>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07" t="str">
        <f>'Schedule 2F Adjustments'!B53:D53</f>
        <v/>
      </c>
      <c r="C54" s="507"/>
      <c r="D54" s="507"/>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07" t="str">
        <f>'Schedule 2F Adjustments'!B54:D54</f>
        <v/>
      </c>
      <c r="C55" s="507"/>
      <c r="D55" s="507"/>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07" t="str">
        <f>'Schedule 2F Adjustments'!B55:D55</f>
        <v/>
      </c>
      <c r="C56" s="507"/>
      <c r="D56" s="507"/>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07" t="str">
        <f>'Schedule 2F Adjustments'!B56:D56</f>
        <v/>
      </c>
      <c r="C57" s="507"/>
      <c r="D57" s="507"/>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07" t="str">
        <f>'Schedule 2F Adjustments'!B57:D57</f>
        <v/>
      </c>
      <c r="C58" s="507"/>
      <c r="D58" s="507"/>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07" t="str">
        <f>'Schedule 2F Adjustments'!B58:D58</f>
        <v/>
      </c>
      <c r="C59" s="507"/>
      <c r="D59" s="507"/>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07" t="str">
        <f>'Schedule 2F Adjustments'!B59:D59</f>
        <v/>
      </c>
      <c r="C60" s="507"/>
      <c r="D60" s="507"/>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07" t="str">
        <f>'Schedule 2F Adjustments'!B60:D60</f>
        <v/>
      </c>
      <c r="C61" s="507"/>
      <c r="D61" s="507"/>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07" t="str">
        <f>'Schedule 2F Adjustments'!B61:D61</f>
        <v/>
      </c>
      <c r="C62" s="507"/>
      <c r="D62" s="507"/>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07" t="str">
        <f>'Schedule 2F Adjustments'!B62:D62</f>
        <v/>
      </c>
      <c r="C63" s="507"/>
      <c r="D63" s="507"/>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07" t="str">
        <f>'Schedule 2F Adjustments'!B63:D63</f>
        <v/>
      </c>
      <c r="C64" s="507"/>
      <c r="D64" s="507"/>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07" t="str">
        <f>'Schedule 2F Adjustments'!B64:D64</f>
        <v/>
      </c>
      <c r="C65" s="507"/>
      <c r="D65" s="507"/>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07" t="str">
        <f>'Schedule 2F Adjustments'!B65:D65</f>
        <v/>
      </c>
      <c r="C66" s="507"/>
      <c r="D66" s="507"/>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07" t="str">
        <f>'Schedule 2F Adjustments'!B66:D66</f>
        <v/>
      </c>
      <c r="C67" s="507"/>
      <c r="D67" s="507"/>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07" t="str">
        <f>'Schedule 2F Adjustments'!B67:D67</f>
        <v/>
      </c>
      <c r="C68" s="507"/>
      <c r="D68" s="507"/>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07" t="str">
        <f>'Schedule 2F Adjustments'!B68:D68</f>
        <v/>
      </c>
      <c r="C69" s="507"/>
      <c r="D69" s="507"/>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07" t="str">
        <f>'Schedule 2F Adjustments'!B69:D69</f>
        <v/>
      </c>
      <c r="C70" s="507"/>
      <c r="D70" s="507"/>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07" t="str">
        <f>'Schedule 2F Adjustments'!B70:D70</f>
        <v/>
      </c>
      <c r="C71" s="507"/>
      <c r="D71" s="507"/>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07" t="str">
        <f>'Schedule 2F Adjustments'!B71:D71</f>
        <v/>
      </c>
      <c r="C72" s="507"/>
      <c r="D72" s="507"/>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07" t="str">
        <f>'Schedule 2F Adjustments'!B72:D72</f>
        <v/>
      </c>
      <c r="C73" s="507"/>
      <c r="D73" s="507"/>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850</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816</v>
      </c>
      <c r="C9" s="1"/>
      <c r="F9" s="119" t="str">
        <f>'Schedule 2G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2G Adjustments'!B15:D15</f>
        <v/>
      </c>
      <c r="C16" s="507"/>
      <c r="D16" s="507"/>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07" t="str">
        <f>'Schedule 2G Adjustments'!B16:D16</f>
        <v/>
      </c>
      <c r="C17" s="507"/>
      <c r="D17" s="507"/>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07" t="str">
        <f>'Schedule 2G Adjustments'!B17:D17</f>
        <v/>
      </c>
      <c r="C18" s="507"/>
      <c r="D18" s="507"/>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07" t="str">
        <f>'Schedule 2G Adjustments'!B18:D18</f>
        <v/>
      </c>
      <c r="C19" s="507"/>
      <c r="D19" s="507"/>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07" t="str">
        <f>'Schedule 2G Adjustments'!B19:D19</f>
        <v/>
      </c>
      <c r="C20" s="507"/>
      <c r="D20" s="507"/>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07" t="str">
        <f>'Schedule 2G Adjustments'!B20:D20</f>
        <v/>
      </c>
      <c r="C21" s="507"/>
      <c r="D21" s="507"/>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07" t="str">
        <f>'Schedule 2G Adjustments'!B21:D21</f>
        <v/>
      </c>
      <c r="C22" s="507"/>
      <c r="D22" s="507"/>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07" t="str">
        <f>'Schedule 2G Adjustments'!B22:D22</f>
        <v/>
      </c>
      <c r="C23" s="507"/>
      <c r="D23" s="507"/>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07" t="str">
        <f>'Schedule 2G Adjustments'!B23:D23</f>
        <v/>
      </c>
      <c r="C24" s="507"/>
      <c r="D24" s="507"/>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07" t="str">
        <f>'Schedule 2G Adjustments'!B24:D24</f>
        <v/>
      </c>
      <c r="C25" s="507"/>
      <c r="D25" s="507"/>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07" t="str">
        <f>'Schedule 2G Adjustments'!B25:D25</f>
        <v/>
      </c>
      <c r="C26" s="507"/>
      <c r="D26" s="507"/>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07" t="str">
        <f>'Schedule 2G Adjustments'!B26:D26</f>
        <v/>
      </c>
      <c r="C27" s="507"/>
      <c r="D27" s="507"/>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07" t="str">
        <f>'Schedule 2G Adjustments'!B27:D27</f>
        <v/>
      </c>
      <c r="C28" s="507"/>
      <c r="D28" s="507"/>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07" t="str">
        <f>'Schedule 2G Adjustments'!B28:D28</f>
        <v/>
      </c>
      <c r="C29" s="507"/>
      <c r="D29" s="507"/>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07" t="str">
        <f>'Schedule 2G Adjustments'!B29:D29</f>
        <v/>
      </c>
      <c r="C30" s="507"/>
      <c r="D30" s="507"/>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07" t="str">
        <f>'Schedule 2G Adjustments'!B30:D30</f>
        <v/>
      </c>
      <c r="C31" s="507"/>
      <c r="D31" s="507"/>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07" t="str">
        <f>'Schedule 2G Adjustments'!B31:D31</f>
        <v/>
      </c>
      <c r="C32" s="507"/>
      <c r="D32" s="507"/>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07" t="str">
        <f>'Schedule 2G Adjustments'!B32:D32</f>
        <v/>
      </c>
      <c r="C33" s="507"/>
      <c r="D33" s="507"/>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07" t="str">
        <f>'Schedule 2G Adjustments'!B33:D33</f>
        <v/>
      </c>
      <c r="C34" s="507"/>
      <c r="D34" s="507"/>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07" t="str">
        <f>'Schedule 2G Adjustments'!B34:D34</f>
        <v/>
      </c>
      <c r="C35" s="507"/>
      <c r="D35" s="507"/>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07" t="str">
        <f>'Schedule 2G Adjustments'!B35:D35</f>
        <v/>
      </c>
      <c r="C36" s="507"/>
      <c r="D36" s="507"/>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07" t="str">
        <f>'Schedule 2G Adjustments'!B36:D36</f>
        <v/>
      </c>
      <c r="C37" s="507"/>
      <c r="D37" s="507"/>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07" t="str">
        <f>'Schedule 2G Adjustments'!B37:D37</f>
        <v/>
      </c>
      <c r="C38" s="507"/>
      <c r="D38" s="507"/>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07" t="str">
        <f>'Schedule 2G Adjustments'!B38:D38</f>
        <v/>
      </c>
      <c r="C39" s="507"/>
      <c r="D39" s="507"/>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07" t="str">
        <f>'Schedule 2G Adjustments'!B39:D39</f>
        <v/>
      </c>
      <c r="C40" s="507"/>
      <c r="D40" s="507"/>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07" t="str">
        <f>'Schedule 2G Adjustments'!B40:D40</f>
        <v/>
      </c>
      <c r="C41" s="507"/>
      <c r="D41" s="507"/>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07" t="str">
        <f>'Schedule 2G Adjustments'!B41:D41</f>
        <v/>
      </c>
      <c r="C42" s="507"/>
      <c r="D42" s="507"/>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07" t="str">
        <f>'Schedule 2G Adjustments'!B42:D42</f>
        <v/>
      </c>
      <c r="C43" s="507"/>
      <c r="D43" s="507"/>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07" t="str">
        <f>'Schedule 2G Adjustments'!B43:D43</f>
        <v/>
      </c>
      <c r="C44" s="507"/>
      <c r="D44" s="507"/>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07" t="str">
        <f>'Schedule 2G Adjustments'!B44:D44</f>
        <v/>
      </c>
      <c r="C45" s="507"/>
      <c r="D45" s="507"/>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07" t="str">
        <f>'Schedule 2G Adjustments'!B45:D45</f>
        <v/>
      </c>
      <c r="C46" s="507"/>
      <c r="D46" s="507"/>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07" t="str">
        <f>'Schedule 2G Adjustments'!B46:D46</f>
        <v/>
      </c>
      <c r="C47" s="507"/>
      <c r="D47" s="507"/>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07" t="str">
        <f>'Schedule 2G Adjustments'!B47:D47</f>
        <v/>
      </c>
      <c r="C48" s="507"/>
      <c r="D48" s="507"/>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07" t="str">
        <f>'Schedule 2G Adjustments'!B48:D48</f>
        <v/>
      </c>
      <c r="C49" s="507"/>
      <c r="D49" s="507"/>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07" t="str">
        <f>'Schedule 2G Adjustments'!B49:D49</f>
        <v/>
      </c>
      <c r="C50" s="507"/>
      <c r="D50" s="507"/>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07" t="str">
        <f>'Schedule 2G Adjustments'!B50:D50</f>
        <v/>
      </c>
      <c r="C51" s="507"/>
      <c r="D51" s="507"/>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07" t="str">
        <f>'Schedule 2G Adjustments'!B51:D51</f>
        <v/>
      </c>
      <c r="C52" s="507"/>
      <c r="D52" s="507"/>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07" t="str">
        <f>'Schedule 2G Adjustments'!B52:D52</f>
        <v/>
      </c>
      <c r="C53" s="507"/>
      <c r="D53" s="507"/>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07" t="str">
        <f>'Schedule 2G Adjustments'!B53:D53</f>
        <v/>
      </c>
      <c r="C54" s="507"/>
      <c r="D54" s="507"/>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07" t="str">
        <f>'Schedule 2G Adjustments'!B54:D54</f>
        <v/>
      </c>
      <c r="C55" s="507"/>
      <c r="D55" s="507"/>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07" t="str">
        <f>'Schedule 2G Adjustments'!B55:D55</f>
        <v/>
      </c>
      <c r="C56" s="507"/>
      <c r="D56" s="507"/>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07" t="str">
        <f>'Schedule 2G Adjustments'!B56:D56</f>
        <v/>
      </c>
      <c r="C57" s="507"/>
      <c r="D57" s="507"/>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07" t="str">
        <f>'Schedule 2G Adjustments'!B57:D57</f>
        <v/>
      </c>
      <c r="C58" s="507"/>
      <c r="D58" s="507"/>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07" t="str">
        <f>'Schedule 2G Adjustments'!B58:D58</f>
        <v/>
      </c>
      <c r="C59" s="507"/>
      <c r="D59" s="507"/>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07" t="str">
        <f>'Schedule 2G Adjustments'!B59:D59</f>
        <v/>
      </c>
      <c r="C60" s="507"/>
      <c r="D60" s="507"/>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07" t="str">
        <f>'Schedule 2G Adjustments'!B60:D60</f>
        <v/>
      </c>
      <c r="C61" s="507"/>
      <c r="D61" s="507"/>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07" t="str">
        <f>'Schedule 2G Adjustments'!B61:D61</f>
        <v/>
      </c>
      <c r="C62" s="507"/>
      <c r="D62" s="507"/>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07" t="str">
        <f>'Schedule 2G Adjustments'!B62:D62</f>
        <v/>
      </c>
      <c r="C63" s="507"/>
      <c r="D63" s="507"/>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07" t="str">
        <f>'Schedule 2G Adjustments'!B63:D63</f>
        <v/>
      </c>
      <c r="C64" s="507"/>
      <c r="D64" s="507"/>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07" t="str">
        <f>'Schedule 2G Adjustments'!B64:D64</f>
        <v/>
      </c>
      <c r="C65" s="507"/>
      <c r="D65" s="507"/>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07" t="str">
        <f>'Schedule 2G Adjustments'!B65:D65</f>
        <v/>
      </c>
      <c r="C66" s="507"/>
      <c r="D66" s="507"/>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07" t="str">
        <f>'Schedule 2G Adjustments'!B66:D66</f>
        <v/>
      </c>
      <c r="C67" s="507"/>
      <c r="D67" s="507"/>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07" t="str">
        <f>'Schedule 2G Adjustments'!B67:D67</f>
        <v/>
      </c>
      <c r="C68" s="507"/>
      <c r="D68" s="507"/>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07" t="str">
        <f>'Schedule 2G Adjustments'!B68:D68</f>
        <v/>
      </c>
      <c r="C69" s="507"/>
      <c r="D69" s="507"/>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07" t="str">
        <f>'Schedule 2G Adjustments'!B69:D69</f>
        <v/>
      </c>
      <c r="C70" s="507"/>
      <c r="D70" s="507"/>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07" t="str">
        <f>'Schedule 2G Adjustments'!B70:D70</f>
        <v/>
      </c>
      <c r="C71" s="507"/>
      <c r="D71" s="507"/>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07" t="str">
        <f>'Schedule 2G Adjustments'!B71:D71</f>
        <v/>
      </c>
      <c r="C72" s="507"/>
      <c r="D72" s="507"/>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07" t="str">
        <f>'Schedule 2G Adjustments'!B72:D72</f>
        <v/>
      </c>
      <c r="C73" s="507"/>
      <c r="D73" s="507"/>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851</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819</v>
      </c>
      <c r="C9" s="1"/>
      <c r="F9" s="119" t="str">
        <f>'Schedule 2H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2H Adjustments'!B15:D15</f>
        <v/>
      </c>
      <c r="C16" s="507"/>
      <c r="D16" s="507"/>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07" t="str">
        <f>'Schedule 2H Adjustments'!B16:D16</f>
        <v/>
      </c>
      <c r="C17" s="507"/>
      <c r="D17" s="507"/>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07" t="str">
        <f>'Schedule 2H Adjustments'!B17:D17</f>
        <v/>
      </c>
      <c r="C18" s="507"/>
      <c r="D18" s="507"/>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07" t="str">
        <f>'Schedule 2H Adjustments'!B18:D18</f>
        <v/>
      </c>
      <c r="C19" s="507"/>
      <c r="D19" s="507"/>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07" t="str">
        <f>'Schedule 2H Adjustments'!B19:D19</f>
        <v/>
      </c>
      <c r="C20" s="507"/>
      <c r="D20" s="507"/>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07" t="str">
        <f>'Schedule 2H Adjustments'!B20:D20</f>
        <v/>
      </c>
      <c r="C21" s="507"/>
      <c r="D21" s="507"/>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07" t="str">
        <f>'Schedule 2H Adjustments'!B21:D21</f>
        <v/>
      </c>
      <c r="C22" s="507"/>
      <c r="D22" s="507"/>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07" t="str">
        <f>'Schedule 2H Adjustments'!B22:D22</f>
        <v/>
      </c>
      <c r="C23" s="507"/>
      <c r="D23" s="507"/>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07" t="str">
        <f>'Schedule 2H Adjustments'!B23:D23</f>
        <v/>
      </c>
      <c r="C24" s="507"/>
      <c r="D24" s="507"/>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07" t="str">
        <f>'Schedule 2H Adjustments'!B24:D24</f>
        <v/>
      </c>
      <c r="C25" s="507"/>
      <c r="D25" s="507"/>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07" t="str">
        <f>'Schedule 2H Adjustments'!B25:D25</f>
        <v/>
      </c>
      <c r="C26" s="507"/>
      <c r="D26" s="507"/>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07" t="str">
        <f>'Schedule 2H Adjustments'!B26:D26</f>
        <v/>
      </c>
      <c r="C27" s="507"/>
      <c r="D27" s="507"/>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07" t="str">
        <f>'Schedule 2H Adjustments'!B27:D27</f>
        <v/>
      </c>
      <c r="C28" s="507"/>
      <c r="D28" s="507"/>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07" t="str">
        <f>'Schedule 2H Adjustments'!B28:D28</f>
        <v/>
      </c>
      <c r="C29" s="507"/>
      <c r="D29" s="507"/>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07" t="str">
        <f>'Schedule 2H Adjustments'!B29:D29</f>
        <v/>
      </c>
      <c r="C30" s="507"/>
      <c r="D30" s="507"/>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07" t="str">
        <f>'Schedule 2H Adjustments'!B30:D30</f>
        <v/>
      </c>
      <c r="C31" s="507"/>
      <c r="D31" s="507"/>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07" t="str">
        <f>'Schedule 2H Adjustments'!B31:D31</f>
        <v/>
      </c>
      <c r="C32" s="507"/>
      <c r="D32" s="507"/>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07" t="str">
        <f>'Schedule 2H Adjustments'!B32:D32</f>
        <v/>
      </c>
      <c r="C33" s="507"/>
      <c r="D33" s="507"/>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07" t="str">
        <f>'Schedule 2H Adjustments'!B33:D33</f>
        <v/>
      </c>
      <c r="C34" s="507"/>
      <c r="D34" s="507"/>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07" t="str">
        <f>'Schedule 2H Adjustments'!B34:D34</f>
        <v/>
      </c>
      <c r="C35" s="507"/>
      <c r="D35" s="507"/>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07" t="str">
        <f>'Schedule 2H Adjustments'!B35:D35</f>
        <v/>
      </c>
      <c r="C36" s="507"/>
      <c r="D36" s="507"/>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07" t="str">
        <f>'Schedule 2H Adjustments'!B36:D36</f>
        <v/>
      </c>
      <c r="C37" s="507"/>
      <c r="D37" s="507"/>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07" t="str">
        <f>'Schedule 2H Adjustments'!B37:D37</f>
        <v/>
      </c>
      <c r="C38" s="507"/>
      <c r="D38" s="507"/>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07" t="str">
        <f>'Schedule 2H Adjustments'!B38:D38</f>
        <v/>
      </c>
      <c r="C39" s="507"/>
      <c r="D39" s="507"/>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07" t="str">
        <f>'Schedule 2H Adjustments'!B39:D39</f>
        <v/>
      </c>
      <c r="C40" s="507"/>
      <c r="D40" s="507"/>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07" t="str">
        <f>'Schedule 2H Adjustments'!B40:D40</f>
        <v/>
      </c>
      <c r="C41" s="507"/>
      <c r="D41" s="507"/>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07" t="str">
        <f>'Schedule 2H Adjustments'!B41:D41</f>
        <v/>
      </c>
      <c r="C42" s="507"/>
      <c r="D42" s="507"/>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07" t="str">
        <f>'Schedule 2H Adjustments'!B42:D42</f>
        <v/>
      </c>
      <c r="C43" s="507"/>
      <c r="D43" s="507"/>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07" t="str">
        <f>'Schedule 2H Adjustments'!B43:D43</f>
        <v/>
      </c>
      <c r="C44" s="507"/>
      <c r="D44" s="507"/>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07" t="str">
        <f>'Schedule 2H Adjustments'!B44:D44</f>
        <v/>
      </c>
      <c r="C45" s="507"/>
      <c r="D45" s="507"/>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07" t="str">
        <f>'Schedule 2H Adjustments'!B45:D45</f>
        <v/>
      </c>
      <c r="C46" s="507"/>
      <c r="D46" s="507"/>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07" t="str">
        <f>'Schedule 2H Adjustments'!B46:D46</f>
        <v/>
      </c>
      <c r="C47" s="507"/>
      <c r="D47" s="507"/>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07" t="str">
        <f>'Schedule 2H Adjustments'!B47:D47</f>
        <v/>
      </c>
      <c r="C48" s="507"/>
      <c r="D48" s="507"/>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07" t="str">
        <f>'Schedule 2H Adjustments'!B48:D48</f>
        <v/>
      </c>
      <c r="C49" s="507"/>
      <c r="D49" s="507"/>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07" t="str">
        <f>'Schedule 2H Adjustments'!B49:D49</f>
        <v/>
      </c>
      <c r="C50" s="507"/>
      <c r="D50" s="507"/>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07" t="str">
        <f>'Schedule 2H Adjustments'!B50:D50</f>
        <v/>
      </c>
      <c r="C51" s="507"/>
      <c r="D51" s="507"/>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07" t="str">
        <f>'Schedule 2H Adjustments'!B51:D51</f>
        <v/>
      </c>
      <c r="C52" s="507"/>
      <c r="D52" s="507"/>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07" t="str">
        <f>'Schedule 2H Adjustments'!B52:D52</f>
        <v/>
      </c>
      <c r="C53" s="507"/>
      <c r="D53" s="507"/>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07" t="str">
        <f>'Schedule 2H Adjustments'!B53:D53</f>
        <v/>
      </c>
      <c r="C54" s="507"/>
      <c r="D54" s="507"/>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07" t="str">
        <f>'Schedule 2H Adjustments'!B54:D54</f>
        <v/>
      </c>
      <c r="C55" s="507"/>
      <c r="D55" s="507"/>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07" t="str">
        <f>'Schedule 2H Adjustments'!B55:D55</f>
        <v/>
      </c>
      <c r="C56" s="507"/>
      <c r="D56" s="507"/>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07" t="str">
        <f>'Schedule 2H Adjustments'!B56:D56</f>
        <v/>
      </c>
      <c r="C57" s="507"/>
      <c r="D57" s="507"/>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07" t="str">
        <f>'Schedule 2H Adjustments'!B57:D57</f>
        <v/>
      </c>
      <c r="C58" s="507"/>
      <c r="D58" s="507"/>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07" t="str">
        <f>'Schedule 2H Adjustments'!B58:D58</f>
        <v/>
      </c>
      <c r="C59" s="507"/>
      <c r="D59" s="507"/>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07" t="str">
        <f>'Schedule 2H Adjustments'!B59:D59</f>
        <v/>
      </c>
      <c r="C60" s="507"/>
      <c r="D60" s="507"/>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07" t="str">
        <f>'Schedule 2H Adjustments'!B60:D60</f>
        <v/>
      </c>
      <c r="C61" s="507"/>
      <c r="D61" s="507"/>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07" t="str">
        <f>'Schedule 2H Adjustments'!B61:D61</f>
        <v/>
      </c>
      <c r="C62" s="507"/>
      <c r="D62" s="507"/>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07" t="str">
        <f>'Schedule 2H Adjustments'!B62:D62</f>
        <v/>
      </c>
      <c r="C63" s="507"/>
      <c r="D63" s="507"/>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07" t="str">
        <f>'Schedule 2H Adjustments'!B63:D63</f>
        <v/>
      </c>
      <c r="C64" s="507"/>
      <c r="D64" s="507"/>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07" t="str">
        <f>'Schedule 2H Adjustments'!B64:D64</f>
        <v/>
      </c>
      <c r="C65" s="507"/>
      <c r="D65" s="507"/>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07" t="str">
        <f>'Schedule 2H Adjustments'!B65:D65</f>
        <v/>
      </c>
      <c r="C66" s="507"/>
      <c r="D66" s="507"/>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07" t="str">
        <f>'Schedule 2H Adjustments'!B66:D66</f>
        <v/>
      </c>
      <c r="C67" s="507"/>
      <c r="D67" s="507"/>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07" t="str">
        <f>'Schedule 2H Adjustments'!B67:D67</f>
        <v/>
      </c>
      <c r="C68" s="507"/>
      <c r="D68" s="507"/>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07" t="str">
        <f>'Schedule 2H Adjustments'!B68:D68</f>
        <v/>
      </c>
      <c r="C69" s="507"/>
      <c r="D69" s="507"/>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07" t="str">
        <f>'Schedule 2H Adjustments'!B69:D69</f>
        <v/>
      </c>
      <c r="C70" s="507"/>
      <c r="D70" s="507"/>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07" t="str">
        <f>'Schedule 2H Adjustments'!B70:D70</f>
        <v/>
      </c>
      <c r="C71" s="507"/>
      <c r="D71" s="507"/>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07" t="str">
        <f>'Schedule 2H Adjustments'!B71:D71</f>
        <v/>
      </c>
      <c r="C72" s="507"/>
      <c r="D72" s="507"/>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07" t="str">
        <f>'Schedule 2H Adjustments'!B72:D72</f>
        <v/>
      </c>
      <c r="C73" s="507"/>
      <c r="D73" s="507"/>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08984375" defaultRowHeight="14.5" x14ac:dyDescent="0.35"/>
  <cols>
    <col min="1" max="1" width="9.54296875" customWidth="1"/>
    <col min="2" max="2" width="21.453125" customWidth="1"/>
    <col min="3" max="3" width="20.54296875" customWidth="1"/>
    <col min="4" max="4" width="18.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852</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822</v>
      </c>
      <c r="C9" s="1"/>
      <c r="F9" s="119" t="str">
        <f>'Schedule 2I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2I Adjustments'!B15:D15</f>
        <v/>
      </c>
      <c r="C16" s="507"/>
      <c r="D16" s="507"/>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07" t="str">
        <f>'Schedule 2I Adjustments'!B16:D16</f>
        <v/>
      </c>
      <c r="C17" s="507"/>
      <c r="D17" s="507"/>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07" t="str">
        <f>'Schedule 2I Adjustments'!B17:D17</f>
        <v/>
      </c>
      <c r="C18" s="507"/>
      <c r="D18" s="507"/>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07" t="str">
        <f>'Schedule 2I Adjustments'!B18:D18</f>
        <v/>
      </c>
      <c r="C19" s="507"/>
      <c r="D19" s="507"/>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07" t="str">
        <f>'Schedule 2I Adjustments'!B19:D19</f>
        <v/>
      </c>
      <c r="C20" s="507"/>
      <c r="D20" s="507"/>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07" t="str">
        <f>'Schedule 2I Adjustments'!B20:D20</f>
        <v/>
      </c>
      <c r="C21" s="507"/>
      <c r="D21" s="507"/>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07" t="str">
        <f>'Schedule 2I Adjustments'!B21:D21</f>
        <v/>
      </c>
      <c r="C22" s="507"/>
      <c r="D22" s="507"/>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07" t="str">
        <f>'Schedule 2I Adjustments'!B22:D22</f>
        <v/>
      </c>
      <c r="C23" s="507"/>
      <c r="D23" s="507"/>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07" t="str">
        <f>'Schedule 2I Adjustments'!B23:D23</f>
        <v/>
      </c>
      <c r="C24" s="507"/>
      <c r="D24" s="507"/>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07" t="str">
        <f>'Schedule 2I Adjustments'!B24:D24</f>
        <v/>
      </c>
      <c r="C25" s="507"/>
      <c r="D25" s="507"/>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07" t="str">
        <f>'Schedule 2I Adjustments'!B25:D25</f>
        <v/>
      </c>
      <c r="C26" s="507"/>
      <c r="D26" s="507"/>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07" t="str">
        <f>'Schedule 2I Adjustments'!B26:D26</f>
        <v/>
      </c>
      <c r="C27" s="507"/>
      <c r="D27" s="507"/>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07" t="str">
        <f>'Schedule 2I Adjustments'!B27:D27</f>
        <v/>
      </c>
      <c r="C28" s="507"/>
      <c r="D28" s="507"/>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07" t="str">
        <f>'Schedule 2I Adjustments'!B28:D28</f>
        <v/>
      </c>
      <c r="C29" s="507"/>
      <c r="D29" s="507"/>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07" t="str">
        <f>'Schedule 2I Adjustments'!B29:D29</f>
        <v/>
      </c>
      <c r="C30" s="507"/>
      <c r="D30" s="507"/>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07" t="str">
        <f>'Schedule 2I Adjustments'!B30:D30</f>
        <v/>
      </c>
      <c r="C31" s="507"/>
      <c r="D31" s="507"/>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07" t="str">
        <f>'Schedule 2I Adjustments'!B31:D31</f>
        <v/>
      </c>
      <c r="C32" s="507"/>
      <c r="D32" s="507"/>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07" t="str">
        <f>'Schedule 2I Adjustments'!B32:D32</f>
        <v/>
      </c>
      <c r="C33" s="507"/>
      <c r="D33" s="507"/>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07" t="str">
        <f>'Schedule 2I Adjustments'!B33:D33</f>
        <v/>
      </c>
      <c r="C34" s="507"/>
      <c r="D34" s="507"/>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07" t="str">
        <f>'Schedule 2I Adjustments'!B34:D34</f>
        <v/>
      </c>
      <c r="C35" s="507"/>
      <c r="D35" s="507"/>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07" t="str">
        <f>'Schedule 2I Adjustments'!B35:D35</f>
        <v/>
      </c>
      <c r="C36" s="507"/>
      <c r="D36" s="507"/>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07" t="str">
        <f>'Schedule 2I Adjustments'!B36:D36</f>
        <v/>
      </c>
      <c r="C37" s="507"/>
      <c r="D37" s="507"/>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07" t="str">
        <f>'Schedule 2I Adjustments'!B37:D37</f>
        <v/>
      </c>
      <c r="C38" s="507"/>
      <c r="D38" s="507"/>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07" t="str">
        <f>'Schedule 2I Adjustments'!B38:D38</f>
        <v/>
      </c>
      <c r="C39" s="507"/>
      <c r="D39" s="507"/>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07" t="str">
        <f>'Schedule 2I Adjustments'!B39:D39</f>
        <v/>
      </c>
      <c r="C40" s="507"/>
      <c r="D40" s="507"/>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07" t="str">
        <f>'Schedule 2I Adjustments'!B40:D40</f>
        <v/>
      </c>
      <c r="C41" s="507"/>
      <c r="D41" s="507"/>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07" t="str">
        <f>'Schedule 2I Adjustments'!B41:D41</f>
        <v/>
      </c>
      <c r="C42" s="507"/>
      <c r="D42" s="507"/>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07" t="str">
        <f>'Schedule 2I Adjustments'!B42:D42</f>
        <v/>
      </c>
      <c r="C43" s="507"/>
      <c r="D43" s="507"/>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07" t="str">
        <f>'Schedule 2I Adjustments'!B43:D43</f>
        <v/>
      </c>
      <c r="C44" s="507"/>
      <c r="D44" s="507"/>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07" t="str">
        <f>'Schedule 2I Adjustments'!B44:D44</f>
        <v/>
      </c>
      <c r="C45" s="507"/>
      <c r="D45" s="507"/>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07" t="str">
        <f>'Schedule 2I Adjustments'!B45:D45</f>
        <v/>
      </c>
      <c r="C46" s="507"/>
      <c r="D46" s="507"/>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07" t="str">
        <f>'Schedule 2I Adjustments'!B46:D46</f>
        <v/>
      </c>
      <c r="C47" s="507"/>
      <c r="D47" s="507"/>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07" t="str">
        <f>'Schedule 2I Adjustments'!B47:D47</f>
        <v/>
      </c>
      <c r="C48" s="507"/>
      <c r="D48" s="507"/>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07" t="str">
        <f>'Schedule 2I Adjustments'!B48:D48</f>
        <v/>
      </c>
      <c r="C49" s="507"/>
      <c r="D49" s="507"/>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07" t="str">
        <f>'Schedule 2I Adjustments'!B49:D49</f>
        <v/>
      </c>
      <c r="C50" s="507"/>
      <c r="D50" s="507"/>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07" t="str">
        <f>'Schedule 2I Adjustments'!B50:D50</f>
        <v/>
      </c>
      <c r="C51" s="507"/>
      <c r="D51" s="507"/>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07" t="str">
        <f>'Schedule 2I Adjustments'!B51:D51</f>
        <v/>
      </c>
      <c r="C52" s="507"/>
      <c r="D52" s="507"/>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07" t="str">
        <f>'Schedule 2I Adjustments'!B52:D52</f>
        <v/>
      </c>
      <c r="C53" s="507"/>
      <c r="D53" s="507"/>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07" t="str">
        <f>'Schedule 2I Adjustments'!B53:D53</f>
        <v/>
      </c>
      <c r="C54" s="507"/>
      <c r="D54" s="507"/>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07" t="str">
        <f>'Schedule 2I Adjustments'!B54:D54</f>
        <v/>
      </c>
      <c r="C55" s="507"/>
      <c r="D55" s="507"/>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07" t="str">
        <f>'Schedule 2I Adjustments'!B55:D55</f>
        <v/>
      </c>
      <c r="C56" s="507"/>
      <c r="D56" s="507"/>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07" t="str">
        <f>'Schedule 2I Adjustments'!B56:D56</f>
        <v/>
      </c>
      <c r="C57" s="507"/>
      <c r="D57" s="507"/>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07" t="str">
        <f>'Schedule 2I Adjustments'!B57:D57</f>
        <v/>
      </c>
      <c r="C58" s="507"/>
      <c r="D58" s="507"/>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07" t="str">
        <f>'Schedule 2I Adjustments'!B58:D58</f>
        <v/>
      </c>
      <c r="C59" s="507"/>
      <c r="D59" s="507"/>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07" t="str">
        <f>'Schedule 2I Adjustments'!B59:D59</f>
        <v/>
      </c>
      <c r="C60" s="507"/>
      <c r="D60" s="507"/>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07" t="str">
        <f>'Schedule 2I Adjustments'!B60:D60</f>
        <v/>
      </c>
      <c r="C61" s="507"/>
      <c r="D61" s="507"/>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07" t="str">
        <f>'Schedule 2I Adjustments'!B61:D61</f>
        <v/>
      </c>
      <c r="C62" s="507"/>
      <c r="D62" s="507"/>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07" t="str">
        <f>'Schedule 2I Adjustments'!B62:D62</f>
        <v/>
      </c>
      <c r="C63" s="507"/>
      <c r="D63" s="507"/>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07" t="str">
        <f>'Schedule 2I Adjustments'!B63:D63</f>
        <v/>
      </c>
      <c r="C64" s="507"/>
      <c r="D64" s="507"/>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07" t="str">
        <f>'Schedule 2I Adjustments'!B64:D64</f>
        <v/>
      </c>
      <c r="C65" s="507"/>
      <c r="D65" s="507"/>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07" t="str">
        <f>'Schedule 2I Adjustments'!B65:D65</f>
        <v/>
      </c>
      <c r="C66" s="507"/>
      <c r="D66" s="507"/>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07" t="str">
        <f>'Schedule 2I Adjustments'!B66:D66</f>
        <v/>
      </c>
      <c r="C67" s="507"/>
      <c r="D67" s="507"/>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07" t="str">
        <f>'Schedule 2I Adjustments'!B67:D67</f>
        <v/>
      </c>
      <c r="C68" s="507"/>
      <c r="D68" s="507"/>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07" t="str">
        <f>'Schedule 2I Adjustments'!B68:D68</f>
        <v/>
      </c>
      <c r="C69" s="507"/>
      <c r="D69" s="507"/>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07" t="str">
        <f>'Schedule 2I Adjustments'!B69:D69</f>
        <v/>
      </c>
      <c r="C70" s="507"/>
      <c r="D70" s="507"/>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07" t="str">
        <f>'Schedule 2I Adjustments'!B70:D70</f>
        <v/>
      </c>
      <c r="C71" s="507"/>
      <c r="D71" s="507"/>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07" t="str">
        <f>'Schedule 2I Adjustments'!B71:D71</f>
        <v/>
      </c>
      <c r="C72" s="507"/>
      <c r="D72" s="507"/>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07" t="str">
        <f>'Schedule 2I Adjustments'!B72:D72</f>
        <v/>
      </c>
      <c r="C73" s="507"/>
      <c r="D73" s="507"/>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853</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825</v>
      </c>
      <c r="C9" s="1"/>
      <c r="F9" s="119" t="str">
        <f>'Schedule 2J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2J Adjustments'!B15:D15</f>
        <v/>
      </c>
      <c r="C16" s="507"/>
      <c r="D16" s="507"/>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07" t="str">
        <f>'Schedule 2J Adjustments'!B16:D16</f>
        <v/>
      </c>
      <c r="C17" s="507"/>
      <c r="D17" s="507"/>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07" t="str">
        <f>'Schedule 2J Adjustments'!B17:D17</f>
        <v/>
      </c>
      <c r="C18" s="507"/>
      <c r="D18" s="507"/>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07" t="str">
        <f>'Schedule 2J Adjustments'!B18:D18</f>
        <v/>
      </c>
      <c r="C19" s="507"/>
      <c r="D19" s="507"/>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07" t="str">
        <f>'Schedule 2J Adjustments'!B19:D19</f>
        <v/>
      </c>
      <c r="C20" s="507"/>
      <c r="D20" s="507"/>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07" t="str">
        <f>'Schedule 2J Adjustments'!B20:D20</f>
        <v/>
      </c>
      <c r="C21" s="507"/>
      <c r="D21" s="507"/>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07" t="str">
        <f>'Schedule 2J Adjustments'!B21:D21</f>
        <v/>
      </c>
      <c r="C22" s="507"/>
      <c r="D22" s="507"/>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07" t="str">
        <f>'Schedule 2J Adjustments'!B22:D22</f>
        <v/>
      </c>
      <c r="C23" s="507"/>
      <c r="D23" s="507"/>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07" t="str">
        <f>'Schedule 2J Adjustments'!B23:D23</f>
        <v/>
      </c>
      <c r="C24" s="507"/>
      <c r="D24" s="507"/>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07" t="str">
        <f>'Schedule 2J Adjustments'!B24:D24</f>
        <v/>
      </c>
      <c r="C25" s="507"/>
      <c r="D25" s="507"/>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07" t="str">
        <f>'Schedule 2J Adjustments'!B25:D25</f>
        <v/>
      </c>
      <c r="C26" s="507"/>
      <c r="D26" s="507"/>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07" t="str">
        <f>'Schedule 2J Adjustments'!B26:D26</f>
        <v/>
      </c>
      <c r="C27" s="507"/>
      <c r="D27" s="507"/>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07" t="str">
        <f>'Schedule 2J Adjustments'!B27:D27</f>
        <v/>
      </c>
      <c r="C28" s="507"/>
      <c r="D28" s="507"/>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07" t="str">
        <f>'Schedule 2J Adjustments'!B28:D28</f>
        <v/>
      </c>
      <c r="C29" s="507"/>
      <c r="D29" s="507"/>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07" t="str">
        <f>'Schedule 2J Adjustments'!B29:D29</f>
        <v/>
      </c>
      <c r="C30" s="507"/>
      <c r="D30" s="507"/>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07" t="str">
        <f>'Schedule 2J Adjustments'!B30:D30</f>
        <v/>
      </c>
      <c r="C31" s="507"/>
      <c r="D31" s="507"/>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07" t="str">
        <f>'Schedule 2J Adjustments'!B31:D31</f>
        <v/>
      </c>
      <c r="C32" s="507"/>
      <c r="D32" s="507"/>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07" t="str">
        <f>'Schedule 2J Adjustments'!B32:D32</f>
        <v/>
      </c>
      <c r="C33" s="507"/>
      <c r="D33" s="507"/>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07" t="str">
        <f>'Schedule 2J Adjustments'!B33:D33</f>
        <v/>
      </c>
      <c r="C34" s="507"/>
      <c r="D34" s="507"/>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07" t="str">
        <f>'Schedule 2J Adjustments'!B34:D34</f>
        <v/>
      </c>
      <c r="C35" s="507"/>
      <c r="D35" s="507"/>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07" t="str">
        <f>'Schedule 2J Adjustments'!B35:D35</f>
        <v/>
      </c>
      <c r="C36" s="507"/>
      <c r="D36" s="507"/>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07" t="str">
        <f>'Schedule 2J Adjustments'!B36:D36</f>
        <v/>
      </c>
      <c r="C37" s="507"/>
      <c r="D37" s="507"/>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07" t="str">
        <f>'Schedule 2J Adjustments'!B37:D37</f>
        <v/>
      </c>
      <c r="C38" s="507"/>
      <c r="D38" s="507"/>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07" t="str">
        <f>'Schedule 2J Adjustments'!B38:D38</f>
        <v/>
      </c>
      <c r="C39" s="507"/>
      <c r="D39" s="507"/>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07" t="str">
        <f>'Schedule 2J Adjustments'!B39:D39</f>
        <v/>
      </c>
      <c r="C40" s="507"/>
      <c r="D40" s="507"/>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07" t="str">
        <f>'Schedule 2J Adjustments'!B40:D40</f>
        <v/>
      </c>
      <c r="C41" s="507"/>
      <c r="D41" s="507"/>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07" t="str">
        <f>'Schedule 2J Adjustments'!B41:D41</f>
        <v/>
      </c>
      <c r="C42" s="507"/>
      <c r="D42" s="507"/>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07" t="str">
        <f>'Schedule 2J Adjustments'!B42:D42</f>
        <v/>
      </c>
      <c r="C43" s="507"/>
      <c r="D43" s="507"/>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07" t="str">
        <f>'Schedule 2J Adjustments'!B43:D43</f>
        <v/>
      </c>
      <c r="C44" s="507"/>
      <c r="D44" s="507"/>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07" t="str">
        <f>'Schedule 2J Adjustments'!B44:D44</f>
        <v/>
      </c>
      <c r="C45" s="507"/>
      <c r="D45" s="507"/>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07" t="str">
        <f>'Schedule 2J Adjustments'!B45:D45</f>
        <v/>
      </c>
      <c r="C46" s="507"/>
      <c r="D46" s="507"/>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07" t="str">
        <f>'Schedule 2J Adjustments'!B46:D46</f>
        <v/>
      </c>
      <c r="C47" s="507"/>
      <c r="D47" s="507"/>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07" t="str">
        <f>'Schedule 2J Adjustments'!B47:D47</f>
        <v/>
      </c>
      <c r="C48" s="507"/>
      <c r="D48" s="507"/>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07" t="str">
        <f>'Schedule 2J Adjustments'!B48:D48</f>
        <v/>
      </c>
      <c r="C49" s="507"/>
      <c r="D49" s="507"/>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07" t="str">
        <f>'Schedule 2J Adjustments'!B49:D49</f>
        <v/>
      </c>
      <c r="C50" s="507"/>
      <c r="D50" s="507"/>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07" t="str">
        <f>'Schedule 2J Adjustments'!B50:D50</f>
        <v/>
      </c>
      <c r="C51" s="507"/>
      <c r="D51" s="507"/>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07" t="str">
        <f>'Schedule 2J Adjustments'!B51:D51</f>
        <v/>
      </c>
      <c r="C52" s="507"/>
      <c r="D52" s="507"/>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07" t="str">
        <f>'Schedule 2J Adjustments'!B52:D52</f>
        <v/>
      </c>
      <c r="C53" s="507"/>
      <c r="D53" s="507"/>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07" t="str">
        <f>'Schedule 2J Adjustments'!B53:D53</f>
        <v/>
      </c>
      <c r="C54" s="507"/>
      <c r="D54" s="507"/>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07" t="str">
        <f>'Schedule 2J Adjustments'!B54:D54</f>
        <v/>
      </c>
      <c r="C55" s="507"/>
      <c r="D55" s="507"/>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07" t="str">
        <f>'Schedule 2J Adjustments'!B55:D55</f>
        <v/>
      </c>
      <c r="C56" s="507"/>
      <c r="D56" s="507"/>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07" t="str">
        <f>'Schedule 2J Adjustments'!B56:D56</f>
        <v/>
      </c>
      <c r="C57" s="507"/>
      <c r="D57" s="507"/>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07" t="str">
        <f>'Schedule 2J Adjustments'!B57:D57</f>
        <v/>
      </c>
      <c r="C58" s="507"/>
      <c r="D58" s="507"/>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07" t="str">
        <f>'Schedule 2J Adjustments'!B58:D58</f>
        <v/>
      </c>
      <c r="C59" s="507"/>
      <c r="D59" s="507"/>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07" t="str">
        <f>'Schedule 2J Adjustments'!B59:D59</f>
        <v/>
      </c>
      <c r="C60" s="507"/>
      <c r="D60" s="507"/>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07" t="str">
        <f>'Schedule 2J Adjustments'!B60:D60</f>
        <v/>
      </c>
      <c r="C61" s="507"/>
      <c r="D61" s="507"/>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07" t="str">
        <f>'Schedule 2J Adjustments'!B61:D61</f>
        <v/>
      </c>
      <c r="C62" s="507"/>
      <c r="D62" s="507"/>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07" t="str">
        <f>'Schedule 2J Adjustments'!B62:D62</f>
        <v/>
      </c>
      <c r="C63" s="507"/>
      <c r="D63" s="507"/>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07" t="str">
        <f>'Schedule 2J Adjustments'!B63:D63</f>
        <v/>
      </c>
      <c r="C64" s="507"/>
      <c r="D64" s="507"/>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07" t="str">
        <f>'Schedule 2J Adjustments'!B64:D64</f>
        <v/>
      </c>
      <c r="C65" s="507"/>
      <c r="D65" s="507"/>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07" t="str">
        <f>'Schedule 2J Adjustments'!B65:D65</f>
        <v/>
      </c>
      <c r="C66" s="507"/>
      <c r="D66" s="507"/>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07" t="str">
        <f>'Schedule 2J Adjustments'!B66:D66</f>
        <v/>
      </c>
      <c r="C67" s="507"/>
      <c r="D67" s="507"/>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07" t="str">
        <f>'Schedule 2J Adjustments'!B67:D67</f>
        <v/>
      </c>
      <c r="C68" s="507"/>
      <c r="D68" s="507"/>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07" t="str">
        <f>'Schedule 2J Adjustments'!B68:D68</f>
        <v/>
      </c>
      <c r="C69" s="507"/>
      <c r="D69" s="507"/>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07" t="str">
        <f>'Schedule 2J Adjustments'!B69:D69</f>
        <v/>
      </c>
      <c r="C70" s="507"/>
      <c r="D70" s="507"/>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07" t="str">
        <f>'Schedule 2J Adjustments'!B70:D70</f>
        <v/>
      </c>
      <c r="C71" s="507"/>
      <c r="D71" s="507"/>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07" t="str">
        <f>'Schedule 2J Adjustments'!B71:D71</f>
        <v/>
      </c>
      <c r="C72" s="507"/>
      <c r="D72" s="507"/>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07" t="str">
        <f>'Schedule 2J Adjustments'!B72:D72</f>
        <v/>
      </c>
      <c r="C73" s="507"/>
      <c r="D73" s="507"/>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854</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828</v>
      </c>
      <c r="C9" s="1"/>
      <c r="F9" s="119" t="str">
        <f>'Schedule 2K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2K Adjustments'!B15:D15</f>
        <v/>
      </c>
      <c r="C16" s="507"/>
      <c r="D16" s="507"/>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07" t="str">
        <f>'Schedule 2K Adjustments'!B16:D16</f>
        <v/>
      </c>
      <c r="C17" s="507"/>
      <c r="D17" s="507"/>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07" t="str">
        <f>'Schedule 2K Adjustments'!B17:D17</f>
        <v/>
      </c>
      <c r="C18" s="507"/>
      <c r="D18" s="507"/>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07" t="str">
        <f>'Schedule 2K Adjustments'!B18:D18</f>
        <v/>
      </c>
      <c r="C19" s="507"/>
      <c r="D19" s="507"/>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07" t="str">
        <f>'Schedule 2K Adjustments'!B19:D19</f>
        <v/>
      </c>
      <c r="C20" s="507"/>
      <c r="D20" s="507"/>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07" t="str">
        <f>'Schedule 2K Adjustments'!B20:D20</f>
        <v/>
      </c>
      <c r="C21" s="507"/>
      <c r="D21" s="507"/>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07" t="str">
        <f>'Schedule 2K Adjustments'!B21:D21</f>
        <v/>
      </c>
      <c r="C22" s="507"/>
      <c r="D22" s="507"/>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07" t="str">
        <f>'Schedule 2K Adjustments'!B22:D22</f>
        <v/>
      </c>
      <c r="C23" s="507"/>
      <c r="D23" s="507"/>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07" t="str">
        <f>'Schedule 2K Adjustments'!B23:D23</f>
        <v/>
      </c>
      <c r="C24" s="507"/>
      <c r="D24" s="507"/>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07" t="str">
        <f>'Schedule 2K Adjustments'!B24:D24</f>
        <v/>
      </c>
      <c r="C25" s="507"/>
      <c r="D25" s="507"/>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07" t="str">
        <f>'Schedule 2K Adjustments'!B25:D25</f>
        <v/>
      </c>
      <c r="C26" s="507"/>
      <c r="D26" s="507"/>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07" t="str">
        <f>'Schedule 2K Adjustments'!B26:D26</f>
        <v/>
      </c>
      <c r="C27" s="507"/>
      <c r="D27" s="507"/>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07" t="str">
        <f>'Schedule 2K Adjustments'!B27:D27</f>
        <v/>
      </c>
      <c r="C28" s="507"/>
      <c r="D28" s="507"/>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07" t="str">
        <f>'Schedule 2K Adjustments'!B28:D28</f>
        <v/>
      </c>
      <c r="C29" s="507"/>
      <c r="D29" s="507"/>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07" t="str">
        <f>'Schedule 2K Adjustments'!B29:D29</f>
        <v/>
      </c>
      <c r="C30" s="507"/>
      <c r="D30" s="507"/>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07" t="str">
        <f>'Schedule 2K Adjustments'!B30:D30</f>
        <v/>
      </c>
      <c r="C31" s="507"/>
      <c r="D31" s="507"/>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07" t="str">
        <f>'Schedule 2K Adjustments'!B31:D31</f>
        <v/>
      </c>
      <c r="C32" s="507"/>
      <c r="D32" s="507"/>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07" t="str">
        <f>'Schedule 2K Adjustments'!B32:D32</f>
        <v/>
      </c>
      <c r="C33" s="507"/>
      <c r="D33" s="507"/>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07" t="str">
        <f>'Schedule 2K Adjustments'!B33:D33</f>
        <v/>
      </c>
      <c r="C34" s="507"/>
      <c r="D34" s="507"/>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07" t="str">
        <f>'Schedule 2K Adjustments'!B34:D34</f>
        <v/>
      </c>
      <c r="C35" s="507"/>
      <c r="D35" s="507"/>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07" t="str">
        <f>'Schedule 2K Adjustments'!B35:D35</f>
        <v/>
      </c>
      <c r="C36" s="507"/>
      <c r="D36" s="507"/>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07" t="str">
        <f>'Schedule 2K Adjustments'!B36:D36</f>
        <v/>
      </c>
      <c r="C37" s="507"/>
      <c r="D37" s="507"/>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07" t="str">
        <f>'Schedule 2K Adjustments'!B37:D37</f>
        <v/>
      </c>
      <c r="C38" s="507"/>
      <c r="D38" s="507"/>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07" t="str">
        <f>'Schedule 2K Adjustments'!B38:D38</f>
        <v/>
      </c>
      <c r="C39" s="507"/>
      <c r="D39" s="507"/>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07" t="str">
        <f>'Schedule 2K Adjustments'!B39:D39</f>
        <v/>
      </c>
      <c r="C40" s="507"/>
      <c r="D40" s="507"/>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07" t="str">
        <f>'Schedule 2K Adjustments'!B40:D40</f>
        <v/>
      </c>
      <c r="C41" s="507"/>
      <c r="D41" s="507"/>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07" t="str">
        <f>'Schedule 2K Adjustments'!B41:D41</f>
        <v/>
      </c>
      <c r="C42" s="507"/>
      <c r="D42" s="507"/>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07" t="str">
        <f>'Schedule 2K Adjustments'!B42:D42</f>
        <v/>
      </c>
      <c r="C43" s="507"/>
      <c r="D43" s="507"/>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07" t="str">
        <f>'Schedule 2K Adjustments'!B43:D43</f>
        <v/>
      </c>
      <c r="C44" s="507"/>
      <c r="D44" s="507"/>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07" t="str">
        <f>'Schedule 2K Adjustments'!B44:D44</f>
        <v/>
      </c>
      <c r="C45" s="507"/>
      <c r="D45" s="507"/>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07" t="str">
        <f>'Schedule 2K Adjustments'!B45:D45</f>
        <v/>
      </c>
      <c r="C46" s="507"/>
      <c r="D46" s="507"/>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07" t="str">
        <f>'Schedule 2K Adjustments'!B46:D46</f>
        <v/>
      </c>
      <c r="C47" s="507"/>
      <c r="D47" s="507"/>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07" t="str">
        <f>'Schedule 2K Adjustments'!B47:D47</f>
        <v/>
      </c>
      <c r="C48" s="507"/>
      <c r="D48" s="507"/>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07" t="str">
        <f>'Schedule 2K Adjustments'!B48:D48</f>
        <v/>
      </c>
      <c r="C49" s="507"/>
      <c r="D49" s="507"/>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07" t="str">
        <f>'Schedule 2K Adjustments'!B49:D49</f>
        <v/>
      </c>
      <c r="C50" s="507"/>
      <c r="D50" s="507"/>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07" t="str">
        <f>'Schedule 2K Adjustments'!B50:D50</f>
        <v/>
      </c>
      <c r="C51" s="507"/>
      <c r="D51" s="507"/>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07" t="str">
        <f>'Schedule 2K Adjustments'!B51:D51</f>
        <v/>
      </c>
      <c r="C52" s="507"/>
      <c r="D52" s="507"/>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07" t="str">
        <f>'Schedule 2K Adjustments'!B52:D52</f>
        <v/>
      </c>
      <c r="C53" s="507"/>
      <c r="D53" s="507"/>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07" t="str">
        <f>'Schedule 2K Adjustments'!B53:D53</f>
        <v/>
      </c>
      <c r="C54" s="507"/>
      <c r="D54" s="507"/>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07" t="str">
        <f>'Schedule 2K Adjustments'!B54:D54</f>
        <v/>
      </c>
      <c r="C55" s="507"/>
      <c r="D55" s="507"/>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07" t="str">
        <f>'Schedule 2K Adjustments'!B55:D55</f>
        <v/>
      </c>
      <c r="C56" s="507"/>
      <c r="D56" s="507"/>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07" t="str">
        <f>'Schedule 2K Adjustments'!B56:D56</f>
        <v/>
      </c>
      <c r="C57" s="507"/>
      <c r="D57" s="507"/>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07" t="str">
        <f>'Schedule 2K Adjustments'!B57:D57</f>
        <v/>
      </c>
      <c r="C58" s="507"/>
      <c r="D58" s="507"/>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07" t="str">
        <f>'Schedule 2K Adjustments'!B58:D58</f>
        <v/>
      </c>
      <c r="C59" s="507"/>
      <c r="D59" s="507"/>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07" t="str">
        <f>'Schedule 2K Adjustments'!B59:D59</f>
        <v/>
      </c>
      <c r="C60" s="507"/>
      <c r="D60" s="507"/>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07" t="str">
        <f>'Schedule 2K Adjustments'!B60:D60</f>
        <v/>
      </c>
      <c r="C61" s="507"/>
      <c r="D61" s="507"/>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07" t="str">
        <f>'Schedule 2K Adjustments'!B61:D61</f>
        <v/>
      </c>
      <c r="C62" s="507"/>
      <c r="D62" s="507"/>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07" t="str">
        <f>'Schedule 2K Adjustments'!B62:D62</f>
        <v/>
      </c>
      <c r="C63" s="507"/>
      <c r="D63" s="507"/>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07" t="str">
        <f>'Schedule 2K Adjustments'!B63:D63</f>
        <v/>
      </c>
      <c r="C64" s="507"/>
      <c r="D64" s="507"/>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07" t="str">
        <f>'Schedule 2K Adjustments'!B64:D64</f>
        <v/>
      </c>
      <c r="C65" s="507"/>
      <c r="D65" s="507"/>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07" t="str">
        <f>'Schedule 2K Adjustments'!B65:D65</f>
        <v/>
      </c>
      <c r="C66" s="507"/>
      <c r="D66" s="507"/>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07" t="str">
        <f>'Schedule 2K Adjustments'!B66:D66</f>
        <v/>
      </c>
      <c r="C67" s="507"/>
      <c r="D67" s="507"/>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07" t="str">
        <f>'Schedule 2K Adjustments'!B67:D67</f>
        <v/>
      </c>
      <c r="C68" s="507"/>
      <c r="D68" s="507"/>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07" t="str">
        <f>'Schedule 2K Adjustments'!B68:D68</f>
        <v/>
      </c>
      <c r="C69" s="507"/>
      <c r="D69" s="507"/>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07" t="str">
        <f>'Schedule 2K Adjustments'!B69:D69</f>
        <v/>
      </c>
      <c r="C70" s="507"/>
      <c r="D70" s="507"/>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07" t="str">
        <f>'Schedule 2K Adjustments'!B70:D70</f>
        <v/>
      </c>
      <c r="C71" s="507"/>
      <c r="D71" s="507"/>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07" t="str">
        <f>'Schedule 2K Adjustments'!B71:D71</f>
        <v/>
      </c>
      <c r="C72" s="507"/>
      <c r="D72" s="507"/>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07" t="str">
        <f>'Schedule 2K Adjustments'!B72:D72</f>
        <v/>
      </c>
      <c r="C73" s="507"/>
      <c r="D73" s="507"/>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855</v>
      </c>
      <c r="B3" s="5"/>
      <c r="C3" s="5"/>
      <c r="D3" s="5"/>
      <c r="E3" s="5"/>
      <c r="F3" s="5"/>
      <c r="G3" s="5"/>
      <c r="H3" s="5"/>
    </row>
    <row r="4" spans="1:15" ht="24.9" customHeight="1" x14ac:dyDescent="0.5">
      <c r="A4" s="243" t="str">
        <f>Results!A4</f>
        <v>Final Adjustments</v>
      </c>
      <c r="B4" s="360"/>
      <c r="C4" s="360"/>
      <c r="D4" s="360"/>
      <c r="E4" s="360"/>
      <c r="F4" s="360"/>
      <c r="G4" s="360"/>
      <c r="H4" s="360"/>
    </row>
    <row r="6" spans="1:15" x14ac:dyDescent="0.35">
      <c r="A6" s="1" t="s">
        <v>773</v>
      </c>
      <c r="C6" s="420" t="str">
        <f>Results!$C$6</f>
        <v>Diversus Health</v>
      </c>
    </row>
    <row r="7" spans="1:15" x14ac:dyDescent="0.35">
      <c r="A7" s="1" t="s">
        <v>0</v>
      </c>
      <c r="C7" s="35">
        <f>Results!$C$7</f>
        <v>45473</v>
      </c>
      <c r="F7" s="35"/>
    </row>
    <row r="9" spans="1:15" x14ac:dyDescent="0.35">
      <c r="A9" s="1" t="s">
        <v>253</v>
      </c>
      <c r="B9" s="1" t="s">
        <v>831</v>
      </c>
      <c r="C9" s="1"/>
      <c r="F9" s="119" t="str">
        <f>'Schedule 2L Adjustments'!F8</f>
        <v>Yes/No</v>
      </c>
      <c r="G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2L Adjustments'!B15:D15</f>
        <v/>
      </c>
      <c r="C16" s="507"/>
      <c r="D16" s="507"/>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07" t="str">
        <f>'Schedule 2L Adjustments'!B16:D16</f>
        <v/>
      </c>
      <c r="C17" s="507"/>
      <c r="D17" s="507"/>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07" t="str">
        <f>'Schedule 2L Adjustments'!B17:D17</f>
        <v/>
      </c>
      <c r="C18" s="507"/>
      <c r="D18" s="507"/>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07" t="str">
        <f>'Schedule 2L Adjustments'!B18:D18</f>
        <v/>
      </c>
      <c r="C19" s="507"/>
      <c r="D19" s="507"/>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07" t="str">
        <f>'Schedule 2L Adjustments'!B19:D19</f>
        <v/>
      </c>
      <c r="C20" s="507"/>
      <c r="D20" s="507"/>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07" t="str">
        <f>'Schedule 2L Adjustments'!B20:D20</f>
        <v/>
      </c>
      <c r="C21" s="507"/>
      <c r="D21" s="507"/>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07" t="str">
        <f>'Schedule 2L Adjustments'!B21:D21</f>
        <v/>
      </c>
      <c r="C22" s="507"/>
      <c r="D22" s="507"/>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07" t="str">
        <f>'Schedule 2L Adjustments'!B22:D22</f>
        <v/>
      </c>
      <c r="C23" s="507"/>
      <c r="D23" s="507"/>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07" t="str">
        <f>'Schedule 2L Adjustments'!B23:D23</f>
        <v/>
      </c>
      <c r="C24" s="507"/>
      <c r="D24" s="507"/>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07" t="str">
        <f>'Schedule 2L Adjustments'!B24:D24</f>
        <v/>
      </c>
      <c r="C25" s="507"/>
      <c r="D25" s="507"/>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07" t="str">
        <f>'Schedule 2L Adjustments'!B25:D25</f>
        <v/>
      </c>
      <c r="C26" s="507"/>
      <c r="D26" s="507"/>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07" t="str">
        <f>'Schedule 2L Adjustments'!B26:D26</f>
        <v/>
      </c>
      <c r="C27" s="507"/>
      <c r="D27" s="507"/>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07" t="str">
        <f>'Schedule 2L Adjustments'!B27:D27</f>
        <v/>
      </c>
      <c r="C28" s="507"/>
      <c r="D28" s="507"/>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07" t="str">
        <f>'Schedule 2L Adjustments'!B28:D28</f>
        <v/>
      </c>
      <c r="C29" s="507"/>
      <c r="D29" s="507"/>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07" t="str">
        <f>'Schedule 2L Adjustments'!B29:D29</f>
        <v/>
      </c>
      <c r="C30" s="507"/>
      <c r="D30" s="507"/>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07" t="str">
        <f>'Schedule 2L Adjustments'!B30:D30</f>
        <v/>
      </c>
      <c r="C31" s="507"/>
      <c r="D31" s="507"/>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07" t="str">
        <f>'Schedule 2L Adjustments'!B31:D31</f>
        <v/>
      </c>
      <c r="C32" s="507"/>
      <c r="D32" s="507"/>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07" t="str">
        <f>'Schedule 2L Adjustments'!B32:D32</f>
        <v/>
      </c>
      <c r="C33" s="507"/>
      <c r="D33" s="507"/>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07" t="str">
        <f>'Schedule 2L Adjustments'!B33:D33</f>
        <v/>
      </c>
      <c r="C34" s="507"/>
      <c r="D34" s="507"/>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07" t="str">
        <f>'Schedule 2L Adjustments'!B34:D34</f>
        <v/>
      </c>
      <c r="C35" s="507"/>
      <c r="D35" s="507"/>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07" t="str">
        <f>'Schedule 2L Adjustments'!B35:D35</f>
        <v/>
      </c>
      <c r="C36" s="507"/>
      <c r="D36" s="507"/>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07" t="str">
        <f>'Schedule 2L Adjustments'!B36:D36</f>
        <v/>
      </c>
      <c r="C37" s="507"/>
      <c r="D37" s="507"/>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07" t="str">
        <f>'Schedule 2L Adjustments'!B37:D37</f>
        <v/>
      </c>
      <c r="C38" s="507"/>
      <c r="D38" s="507"/>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07" t="str">
        <f>'Schedule 2L Adjustments'!B38:D38</f>
        <v/>
      </c>
      <c r="C39" s="507"/>
      <c r="D39" s="507"/>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07" t="str">
        <f>'Schedule 2L Adjustments'!B39:D39</f>
        <v/>
      </c>
      <c r="C40" s="507"/>
      <c r="D40" s="507"/>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07" t="str">
        <f>'Schedule 2L Adjustments'!B40:D40</f>
        <v/>
      </c>
      <c r="C41" s="507"/>
      <c r="D41" s="507"/>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07" t="str">
        <f>'Schedule 2L Adjustments'!B41:D41</f>
        <v/>
      </c>
      <c r="C42" s="507"/>
      <c r="D42" s="507"/>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07" t="str">
        <f>'Schedule 2L Adjustments'!B42:D42</f>
        <v/>
      </c>
      <c r="C43" s="507"/>
      <c r="D43" s="507"/>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07" t="str">
        <f>'Schedule 2L Adjustments'!B43:D43</f>
        <v/>
      </c>
      <c r="C44" s="507"/>
      <c r="D44" s="507"/>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07" t="str">
        <f>'Schedule 2L Adjustments'!B44:D44</f>
        <v/>
      </c>
      <c r="C45" s="507"/>
      <c r="D45" s="507"/>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07" t="str">
        <f>'Schedule 2L Adjustments'!B45:D45</f>
        <v/>
      </c>
      <c r="C46" s="507"/>
      <c r="D46" s="507"/>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07" t="str">
        <f>'Schedule 2L Adjustments'!B46:D46</f>
        <v/>
      </c>
      <c r="C47" s="507"/>
      <c r="D47" s="507"/>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07" t="str">
        <f>'Schedule 2L Adjustments'!B47:D47</f>
        <v/>
      </c>
      <c r="C48" s="507"/>
      <c r="D48" s="507"/>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07" t="str">
        <f>'Schedule 2L Adjustments'!B48:D48</f>
        <v/>
      </c>
      <c r="C49" s="507"/>
      <c r="D49" s="507"/>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07" t="str">
        <f>'Schedule 2L Adjustments'!B49:D49</f>
        <v/>
      </c>
      <c r="C50" s="507"/>
      <c r="D50" s="507"/>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07" t="str">
        <f>'Schedule 2L Adjustments'!B50:D50</f>
        <v/>
      </c>
      <c r="C51" s="507"/>
      <c r="D51" s="507"/>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07" t="str">
        <f>'Schedule 2L Adjustments'!B51:D51</f>
        <v/>
      </c>
      <c r="C52" s="507"/>
      <c r="D52" s="507"/>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07" t="str">
        <f>'Schedule 2L Adjustments'!B52:D52</f>
        <v/>
      </c>
      <c r="C53" s="507"/>
      <c r="D53" s="507"/>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07" t="str">
        <f>'Schedule 2L Adjustments'!B53:D53</f>
        <v/>
      </c>
      <c r="C54" s="507"/>
      <c r="D54" s="507"/>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07" t="str">
        <f>'Schedule 2L Adjustments'!B54:D54</f>
        <v/>
      </c>
      <c r="C55" s="507"/>
      <c r="D55" s="507"/>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07" t="str">
        <f>'Schedule 2L Adjustments'!B55:D55</f>
        <v/>
      </c>
      <c r="C56" s="507"/>
      <c r="D56" s="507"/>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07" t="str">
        <f>'Schedule 2L Adjustments'!B56:D56</f>
        <v/>
      </c>
      <c r="C57" s="507"/>
      <c r="D57" s="507"/>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07" t="str">
        <f>'Schedule 2L Adjustments'!B57:D57</f>
        <v/>
      </c>
      <c r="C58" s="507"/>
      <c r="D58" s="507"/>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07" t="str">
        <f>'Schedule 2L Adjustments'!B58:D58</f>
        <v/>
      </c>
      <c r="C59" s="507"/>
      <c r="D59" s="507"/>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07" t="str">
        <f>'Schedule 2L Adjustments'!B59:D59</f>
        <v/>
      </c>
      <c r="C60" s="507"/>
      <c r="D60" s="507"/>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07" t="str">
        <f>'Schedule 2L Adjustments'!B60:D60</f>
        <v/>
      </c>
      <c r="C61" s="507"/>
      <c r="D61" s="507"/>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07" t="str">
        <f>'Schedule 2L Adjustments'!B61:D61</f>
        <v/>
      </c>
      <c r="C62" s="507"/>
      <c r="D62" s="507"/>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07" t="str">
        <f>'Schedule 2L Adjustments'!B62:D62</f>
        <v/>
      </c>
      <c r="C63" s="507"/>
      <c r="D63" s="507"/>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07" t="str">
        <f>'Schedule 2L Adjustments'!B63:D63</f>
        <v/>
      </c>
      <c r="C64" s="507"/>
      <c r="D64" s="507"/>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07" t="str">
        <f>'Schedule 2L Adjustments'!B64:D64</f>
        <v/>
      </c>
      <c r="C65" s="507"/>
      <c r="D65" s="507"/>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07" t="str">
        <f>'Schedule 2L Adjustments'!B65:D65</f>
        <v/>
      </c>
      <c r="C66" s="507"/>
      <c r="D66" s="507"/>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07" t="str">
        <f>'Schedule 2L Adjustments'!B66:D66</f>
        <v/>
      </c>
      <c r="C67" s="507"/>
      <c r="D67" s="507"/>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07" t="str">
        <f>'Schedule 2L Adjustments'!B67:D67</f>
        <v/>
      </c>
      <c r="C68" s="507"/>
      <c r="D68" s="507"/>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07" t="str">
        <f>'Schedule 2L Adjustments'!B68:D68</f>
        <v/>
      </c>
      <c r="C69" s="507"/>
      <c r="D69" s="507"/>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07" t="str">
        <f>'Schedule 2L Adjustments'!B69:D69</f>
        <v/>
      </c>
      <c r="C70" s="507"/>
      <c r="D70" s="507"/>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07" t="str">
        <f>'Schedule 2L Adjustments'!B70:D70</f>
        <v/>
      </c>
      <c r="C71" s="507"/>
      <c r="D71" s="507"/>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07" t="str">
        <f>'Schedule 2L Adjustments'!B71:D71</f>
        <v/>
      </c>
      <c r="C72" s="507"/>
      <c r="D72" s="507"/>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07" t="str">
        <f>'Schedule 2L Adjustments'!B72:D72</f>
        <v/>
      </c>
      <c r="C73" s="507"/>
      <c r="D73" s="507"/>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08984375" defaultRowHeight="14.5" x14ac:dyDescent="0.35"/>
  <cols>
    <col min="1" max="1" width="9.54296875" customWidth="1"/>
    <col min="2" max="2" width="24.453125" customWidth="1"/>
    <col min="3" max="3" width="23.6328125" customWidth="1"/>
    <col min="4" max="4" width="19.5429687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856</v>
      </c>
      <c r="B3" s="5"/>
      <c r="C3" s="5"/>
      <c r="D3" s="5"/>
      <c r="E3" s="5"/>
      <c r="F3" s="5"/>
      <c r="G3" s="5"/>
      <c r="H3" s="5"/>
    </row>
    <row r="4" spans="1:15" ht="24.9" customHeight="1" x14ac:dyDescent="0.5">
      <c r="A4" s="242" t="s">
        <v>834</v>
      </c>
      <c r="B4" s="360"/>
      <c r="C4" s="360"/>
      <c r="D4" s="360"/>
      <c r="E4" s="360"/>
      <c r="F4" s="360"/>
      <c r="G4" s="360"/>
      <c r="H4" s="360"/>
    </row>
    <row r="5" spans="1:15" ht="21" x14ac:dyDescent="0.5">
      <c r="A5" s="243" t="str">
        <f>Results!A4</f>
        <v>Final Adjustments</v>
      </c>
    </row>
    <row r="6" spans="1:15" x14ac:dyDescent="0.35">
      <c r="A6" s="1" t="s">
        <v>773</v>
      </c>
      <c r="C6" s="420" t="str">
        <f>Results!$C$6</f>
        <v>Diversus Health</v>
      </c>
    </row>
    <row r="7" spans="1:15" x14ac:dyDescent="0.35">
      <c r="A7" s="1" t="s">
        <v>0</v>
      </c>
      <c r="C7" s="35">
        <f>Results!$C$7</f>
        <v>45473</v>
      </c>
      <c r="F7" s="35"/>
    </row>
    <row r="9" spans="1:15" x14ac:dyDescent="0.35">
      <c r="A9" s="1" t="s">
        <v>253</v>
      </c>
      <c r="B9" s="1" t="s">
        <v>835</v>
      </c>
      <c r="C9" s="1"/>
      <c r="J9" s="119" t="str">
        <f>'Schedule 2M Adjustments'!I8</f>
        <v>Yes/No</v>
      </c>
      <c r="K9" s="41" t="s">
        <v>259</v>
      </c>
    </row>
    <row r="11" spans="1:15" x14ac:dyDescent="0.35">
      <c r="A11" s="1" t="s">
        <v>254</v>
      </c>
      <c r="B11" s="1" t="s">
        <v>256</v>
      </c>
      <c r="C11" s="1"/>
    </row>
    <row r="12" spans="1:15" x14ac:dyDescent="0.35">
      <c r="B12" s="317" t="s">
        <v>598</v>
      </c>
    </row>
    <row r="13" spans="1:15" x14ac:dyDescent="0.35">
      <c r="B13" s="502">
        <v>1</v>
      </c>
      <c r="C13" s="502"/>
      <c r="D13" s="502"/>
      <c r="F13" s="23">
        <v>2</v>
      </c>
      <c r="G13" s="23">
        <v>3</v>
      </c>
      <c r="H13" s="23">
        <v>4</v>
      </c>
      <c r="J13" s="23">
        <v>5</v>
      </c>
      <c r="K13" s="23">
        <v>6</v>
      </c>
      <c r="L13" s="23">
        <v>7</v>
      </c>
      <c r="N13" s="23">
        <v>8</v>
      </c>
      <c r="O13" s="23">
        <v>9</v>
      </c>
    </row>
    <row r="14" spans="1:15" ht="15" customHeight="1" x14ac:dyDescent="0.35">
      <c r="B14" s="511" t="s">
        <v>612</v>
      </c>
      <c r="C14" s="512"/>
      <c r="D14" s="513"/>
      <c r="F14" s="505" t="s">
        <v>261</v>
      </c>
      <c r="G14" s="510"/>
      <c r="H14" s="506"/>
      <c r="J14" s="505" t="s">
        <v>262</v>
      </c>
      <c r="K14" s="510"/>
      <c r="L14" s="506"/>
      <c r="N14" s="508" t="s">
        <v>692</v>
      </c>
      <c r="O14" s="508" t="s">
        <v>693</v>
      </c>
    </row>
    <row r="15" spans="1:15" ht="55.5" customHeight="1" x14ac:dyDescent="0.35">
      <c r="B15" s="514"/>
      <c r="C15" s="515"/>
      <c r="D15" s="516"/>
      <c r="E15" s="48"/>
      <c r="F15" s="10" t="s">
        <v>689</v>
      </c>
      <c r="G15" s="151" t="s">
        <v>690</v>
      </c>
      <c r="H15" s="151" t="s">
        <v>691</v>
      </c>
      <c r="I15" s="100"/>
      <c r="J15" s="10" t="s">
        <v>689</v>
      </c>
      <c r="K15" s="151" t="s">
        <v>690</v>
      </c>
      <c r="L15" s="151" t="s">
        <v>691</v>
      </c>
      <c r="M15" s="48"/>
      <c r="N15" s="509"/>
      <c r="O15" s="509"/>
    </row>
    <row r="16" spans="1:15" x14ac:dyDescent="0.35">
      <c r="A16" s="24">
        <v>1</v>
      </c>
      <c r="B16" s="507" t="str">
        <f>'Schedule 2M Adjustments'!B15:D15</f>
        <v/>
      </c>
      <c r="C16" s="507"/>
      <c r="D16" s="507"/>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07" t="str">
        <f>'Schedule 2M Adjustments'!B16:D16</f>
        <v/>
      </c>
      <c r="C17" s="507"/>
      <c r="D17" s="507"/>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07" t="str">
        <f>'Schedule 2M Adjustments'!B17:D17</f>
        <v/>
      </c>
      <c r="C18" s="507"/>
      <c r="D18" s="507"/>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07" t="str">
        <f>'Schedule 2M Adjustments'!B18:D18</f>
        <v/>
      </c>
      <c r="C19" s="507"/>
      <c r="D19" s="507"/>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07" t="str">
        <f>'Schedule 2M Adjustments'!B19:D19</f>
        <v/>
      </c>
      <c r="C20" s="507"/>
      <c r="D20" s="507"/>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07" t="str">
        <f>'Schedule 2M Adjustments'!B20:D20</f>
        <v/>
      </c>
      <c r="C21" s="507"/>
      <c r="D21" s="507"/>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07" t="str">
        <f>'Schedule 2M Adjustments'!B21:D21</f>
        <v/>
      </c>
      <c r="C22" s="507"/>
      <c r="D22" s="507"/>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07" t="str">
        <f>'Schedule 2M Adjustments'!B22:D22</f>
        <v/>
      </c>
      <c r="C23" s="507"/>
      <c r="D23" s="507"/>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07" t="str">
        <f>'Schedule 2M Adjustments'!B23:D23</f>
        <v/>
      </c>
      <c r="C24" s="507"/>
      <c r="D24" s="507"/>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07" t="str">
        <f>'Schedule 2M Adjustments'!B24:D24</f>
        <v/>
      </c>
      <c r="C25" s="507"/>
      <c r="D25" s="507"/>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07" t="str">
        <f>'Schedule 2M Adjustments'!B25:D25</f>
        <v/>
      </c>
      <c r="C26" s="507"/>
      <c r="D26" s="507"/>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07" t="str">
        <f>'Schedule 2M Adjustments'!B26:D26</f>
        <v/>
      </c>
      <c r="C27" s="507"/>
      <c r="D27" s="507"/>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07" t="str">
        <f>'Schedule 2M Adjustments'!B27:D27</f>
        <v/>
      </c>
      <c r="C28" s="507"/>
      <c r="D28" s="507"/>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07" t="str">
        <f>'Schedule 2M Adjustments'!B28:D28</f>
        <v/>
      </c>
      <c r="C29" s="507"/>
      <c r="D29" s="507"/>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07" t="str">
        <f>'Schedule 2M Adjustments'!B29:D29</f>
        <v/>
      </c>
      <c r="C30" s="507"/>
      <c r="D30" s="507"/>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07" t="str">
        <f>'Schedule 2M Adjustments'!B30:D30</f>
        <v/>
      </c>
      <c r="C31" s="507"/>
      <c r="D31" s="507"/>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07" t="str">
        <f>'Schedule 2M Adjustments'!B31:D31</f>
        <v/>
      </c>
      <c r="C32" s="507"/>
      <c r="D32" s="507"/>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07" t="str">
        <f>'Schedule 2M Adjustments'!B32:D32</f>
        <v/>
      </c>
      <c r="C33" s="507"/>
      <c r="D33" s="507"/>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07" t="str">
        <f>'Schedule 2M Adjustments'!B33:D33</f>
        <v/>
      </c>
      <c r="C34" s="507"/>
      <c r="D34" s="507"/>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07" t="str">
        <f>'Schedule 2M Adjustments'!B34:D34</f>
        <v/>
      </c>
      <c r="C35" s="507"/>
      <c r="D35" s="507"/>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07" t="str">
        <f>'Schedule 2M Adjustments'!B35:D35</f>
        <v/>
      </c>
      <c r="C36" s="507"/>
      <c r="D36" s="507"/>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07" t="str">
        <f>'Schedule 2M Adjustments'!B36:D36</f>
        <v/>
      </c>
      <c r="C37" s="507"/>
      <c r="D37" s="507"/>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07" t="str">
        <f>'Schedule 2M Adjustments'!B37:D37</f>
        <v/>
      </c>
      <c r="C38" s="507"/>
      <c r="D38" s="507"/>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07" t="str">
        <f>'Schedule 2M Adjustments'!B38:D38</f>
        <v/>
      </c>
      <c r="C39" s="507"/>
      <c r="D39" s="507"/>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07" t="str">
        <f>'Schedule 2M Adjustments'!B39:D39</f>
        <v/>
      </c>
      <c r="C40" s="507"/>
      <c r="D40" s="507"/>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07" t="str">
        <f>'Schedule 2M Adjustments'!B40:D40</f>
        <v/>
      </c>
      <c r="C41" s="507"/>
      <c r="D41" s="507"/>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07" t="str">
        <f>'Schedule 2M Adjustments'!B41:D41</f>
        <v/>
      </c>
      <c r="C42" s="507"/>
      <c r="D42" s="507"/>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07" t="str">
        <f>'Schedule 2M Adjustments'!B42:D42</f>
        <v/>
      </c>
      <c r="C43" s="507"/>
      <c r="D43" s="507"/>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07" t="str">
        <f>'Schedule 2M Adjustments'!B43:D43</f>
        <v/>
      </c>
      <c r="C44" s="507"/>
      <c r="D44" s="507"/>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07" t="str">
        <f>'Schedule 2M Adjustments'!B44:D44</f>
        <v/>
      </c>
      <c r="C45" s="507"/>
      <c r="D45" s="507"/>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07" t="str">
        <f>'Schedule 2M Adjustments'!B45:D45</f>
        <v/>
      </c>
      <c r="C46" s="507"/>
      <c r="D46" s="507"/>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07" t="str">
        <f>'Schedule 2M Adjustments'!B46:D46</f>
        <v/>
      </c>
      <c r="C47" s="507"/>
      <c r="D47" s="507"/>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07" t="str">
        <f>'Schedule 2M Adjustments'!B47:D47</f>
        <v/>
      </c>
      <c r="C48" s="507"/>
      <c r="D48" s="507"/>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07" t="str">
        <f>'Schedule 2M Adjustments'!B48:D48</f>
        <v/>
      </c>
      <c r="C49" s="507"/>
      <c r="D49" s="507"/>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07" t="str">
        <f>'Schedule 2M Adjustments'!B49:D49</f>
        <v/>
      </c>
      <c r="C50" s="507"/>
      <c r="D50" s="507"/>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07" t="str">
        <f>'Schedule 2M Adjustments'!B50:D50</f>
        <v/>
      </c>
      <c r="C51" s="507"/>
      <c r="D51" s="507"/>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07" t="str">
        <f>'Schedule 2M Adjustments'!B51:D51</f>
        <v/>
      </c>
      <c r="C52" s="507"/>
      <c r="D52" s="507"/>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07" t="str">
        <f>'Schedule 2M Adjustments'!B52:D52</f>
        <v/>
      </c>
      <c r="C53" s="507"/>
      <c r="D53" s="507"/>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07" t="str">
        <f>'Schedule 2M Adjustments'!B53:D53</f>
        <v/>
      </c>
      <c r="C54" s="507"/>
      <c r="D54" s="507"/>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07" t="str">
        <f>'Schedule 2M Adjustments'!B54:D54</f>
        <v/>
      </c>
      <c r="C55" s="507"/>
      <c r="D55" s="507"/>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07" t="str">
        <f>'Schedule 2M Adjustments'!B55:D55</f>
        <v/>
      </c>
      <c r="C56" s="507"/>
      <c r="D56" s="507"/>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07" t="str">
        <f>'Schedule 2M Adjustments'!B56:D56</f>
        <v/>
      </c>
      <c r="C57" s="507"/>
      <c r="D57" s="507"/>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07" t="str">
        <f>'Schedule 2M Adjustments'!B57:D57</f>
        <v/>
      </c>
      <c r="C58" s="507"/>
      <c r="D58" s="507"/>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07" t="str">
        <f>'Schedule 2M Adjustments'!B58:D58</f>
        <v/>
      </c>
      <c r="C59" s="507"/>
      <c r="D59" s="507"/>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07" t="str">
        <f>'Schedule 2M Adjustments'!B59:D59</f>
        <v/>
      </c>
      <c r="C60" s="507"/>
      <c r="D60" s="507"/>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07" t="str">
        <f>'Schedule 2M Adjustments'!B60:D60</f>
        <v/>
      </c>
      <c r="C61" s="507"/>
      <c r="D61" s="507"/>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07" t="str">
        <f>'Schedule 2M Adjustments'!B61:D61</f>
        <v/>
      </c>
      <c r="C62" s="507"/>
      <c r="D62" s="507"/>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07" t="str">
        <f>'Schedule 2M Adjustments'!B62:D62</f>
        <v/>
      </c>
      <c r="C63" s="507"/>
      <c r="D63" s="507"/>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07" t="str">
        <f>'Schedule 2M Adjustments'!B63:D63</f>
        <v/>
      </c>
      <c r="C64" s="507"/>
      <c r="D64" s="507"/>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07" t="str">
        <f>'Schedule 2M Adjustments'!B64:D64</f>
        <v/>
      </c>
      <c r="C65" s="507"/>
      <c r="D65" s="507"/>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07" t="str">
        <f>'Schedule 2M Adjustments'!B65:D65</f>
        <v/>
      </c>
      <c r="C66" s="507"/>
      <c r="D66" s="507"/>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07" t="str">
        <f>'Schedule 2M Adjustments'!B66:D66</f>
        <v/>
      </c>
      <c r="C67" s="507"/>
      <c r="D67" s="507"/>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07" t="str">
        <f>'Schedule 2M Adjustments'!B67:D67</f>
        <v/>
      </c>
      <c r="C68" s="507"/>
      <c r="D68" s="507"/>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07" t="str">
        <f>'Schedule 2M Adjustments'!B68:D68</f>
        <v/>
      </c>
      <c r="C69" s="507"/>
      <c r="D69" s="507"/>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07" t="str">
        <f>'Schedule 2M Adjustments'!B69:D69</f>
        <v/>
      </c>
      <c r="C70" s="507"/>
      <c r="D70" s="507"/>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07" t="str">
        <f>'Schedule 2M Adjustments'!B70:D70</f>
        <v/>
      </c>
      <c r="C71" s="507"/>
      <c r="D71" s="507"/>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07" t="str">
        <f>'Schedule 2M Adjustments'!B71:D71</f>
        <v/>
      </c>
      <c r="C72" s="507"/>
      <c r="D72" s="507"/>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07" t="str">
        <f>'Schedule 2M Adjustments'!B72:D72</f>
        <v/>
      </c>
      <c r="C73" s="507"/>
      <c r="D73" s="507"/>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pageSetUpPr fitToPage="1"/>
  </sheetPr>
  <dimension ref="A1:V262"/>
  <sheetViews>
    <sheetView workbookViewId="0"/>
  </sheetViews>
  <sheetFormatPr defaultColWidth="9.08984375"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9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4.9" customHeight="1" x14ac:dyDescent="0.5">
      <c r="A3" s="5" t="s">
        <v>924</v>
      </c>
      <c r="B3" s="5"/>
      <c r="C3" s="12"/>
      <c r="D3" s="7"/>
      <c r="E3" s="14"/>
      <c r="F3" s="13"/>
      <c r="G3" s="137"/>
      <c r="H3" s="14"/>
      <c r="I3" s="13"/>
    </row>
    <row r="4" spans="1:22" ht="24.9"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0" t="str">
        <f>Results!$C$6</f>
        <v>Diversus Health</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496" t="s">
        <v>480</v>
      </c>
      <c r="B10" s="496"/>
      <c r="C10" s="496"/>
      <c r="D10" s="496"/>
      <c r="E10" s="496"/>
      <c r="F10" s="496"/>
      <c r="G10" s="496"/>
      <c r="H10" s="496"/>
      <c r="I10" s="496"/>
      <c r="J10" s="496"/>
      <c r="K10" s="496"/>
      <c r="L10" s="100"/>
      <c r="T10" s="40"/>
      <c r="U10" s="40"/>
      <c r="V10" s="40"/>
    </row>
    <row r="11" spans="1:22" x14ac:dyDescent="0.35">
      <c r="A11" s="496"/>
      <c r="B11" s="496"/>
      <c r="C11" s="496"/>
      <c r="D11" s="496"/>
      <c r="E11" s="496"/>
      <c r="F11" s="496"/>
      <c r="G11" s="496"/>
      <c r="H11" s="496"/>
      <c r="I11" s="496"/>
      <c r="J11" s="496"/>
      <c r="K11" s="496"/>
      <c r="L11" s="100"/>
      <c r="T11" s="40"/>
      <c r="U11" s="40"/>
      <c r="V11" s="40"/>
    </row>
    <row r="12" spans="1:22" x14ac:dyDescent="0.35">
      <c r="A12" s="496"/>
      <c r="B12" s="496"/>
      <c r="C12" s="496"/>
      <c r="D12" s="496"/>
      <c r="E12" s="496"/>
      <c r="F12" s="496"/>
      <c r="G12" s="496"/>
      <c r="H12" s="496"/>
      <c r="I12" s="496"/>
      <c r="J12" s="496"/>
      <c r="K12" s="496"/>
      <c r="L12" s="100"/>
      <c r="T12" s="40"/>
      <c r="U12" s="40"/>
      <c r="V12" s="40"/>
    </row>
    <row r="13" spans="1:22" x14ac:dyDescent="0.35">
      <c r="A13" s="204"/>
      <c r="B13" s="317"/>
      <c r="C13" s="205"/>
      <c r="D13" s="205"/>
      <c r="E13" s="206"/>
      <c r="F13" s="206"/>
      <c r="G13" s="207"/>
      <c r="H13" s="207"/>
      <c r="I13" s="206"/>
      <c r="J13" s="206"/>
      <c r="K13" s="100"/>
      <c r="L13" s="100"/>
      <c r="T13" s="40"/>
      <c r="U13" s="40"/>
      <c r="V13" s="40"/>
    </row>
    <row r="14" spans="1:22" x14ac:dyDescent="0.35">
      <c r="A14" s="100"/>
      <c r="B14" s="490">
        <v>1</v>
      </c>
      <c r="C14" s="491"/>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23" t="s">
        <v>632</v>
      </c>
      <c r="C15" s="524"/>
      <c r="D15" s="520" t="s">
        <v>633</v>
      </c>
      <c r="E15" s="520" t="s">
        <v>634</v>
      </c>
      <c r="F15" s="520" t="s">
        <v>635</v>
      </c>
      <c r="G15" s="527" t="s">
        <v>758</v>
      </c>
      <c r="H15" s="527" t="s">
        <v>759</v>
      </c>
      <c r="I15" s="208"/>
      <c r="J15" s="208"/>
      <c r="K15" s="520" t="s">
        <v>697</v>
      </c>
      <c r="L15" s="520" t="s">
        <v>698</v>
      </c>
      <c r="M15" s="522" t="s">
        <v>168</v>
      </c>
      <c r="N15" s="522"/>
      <c r="O15" s="522" t="s">
        <v>34</v>
      </c>
      <c r="P15" s="522"/>
      <c r="Q15" s="522" t="s">
        <v>169</v>
      </c>
      <c r="R15" s="522"/>
    </row>
    <row r="16" spans="1:22" ht="60" customHeight="1" x14ac:dyDescent="0.35">
      <c r="A16" s="100"/>
      <c r="B16" s="525"/>
      <c r="C16" s="526"/>
      <c r="D16" s="521"/>
      <c r="E16" s="521"/>
      <c r="F16" s="521"/>
      <c r="G16" s="528"/>
      <c r="H16" s="528"/>
      <c r="I16" s="209" t="s">
        <v>454</v>
      </c>
      <c r="J16" s="209" t="s">
        <v>494</v>
      </c>
      <c r="K16" s="521"/>
      <c r="L16" s="521"/>
      <c r="M16" s="10" t="s">
        <v>699</v>
      </c>
      <c r="N16" s="10" t="s">
        <v>700</v>
      </c>
      <c r="O16" s="10" t="s">
        <v>701</v>
      </c>
      <c r="P16" s="10" t="s">
        <v>702</v>
      </c>
      <c r="Q16" s="10" t="s">
        <v>703</v>
      </c>
      <c r="R16" s="10" t="s">
        <v>704</v>
      </c>
    </row>
    <row r="17" spans="1:18" x14ac:dyDescent="0.35">
      <c r="A17" s="100"/>
      <c r="B17" s="317" t="s">
        <v>598</v>
      </c>
      <c r="C17" s="210"/>
      <c r="D17" s="97"/>
      <c r="E17" s="97"/>
      <c r="F17" s="97"/>
      <c r="G17" s="211"/>
      <c r="H17" s="211"/>
      <c r="I17" s="97"/>
      <c r="J17" s="97"/>
      <c r="K17" s="97"/>
      <c r="L17" s="97"/>
      <c r="M17" s="6"/>
      <c r="N17" s="6"/>
      <c r="O17" s="6"/>
      <c r="P17" s="6"/>
      <c r="Q17" s="6"/>
      <c r="R17" s="6"/>
    </row>
    <row r="18" spans="1:18" s="34" customFormat="1" x14ac:dyDescent="0.35">
      <c r="A18" s="212">
        <v>1</v>
      </c>
      <c r="B18" s="518" t="str">
        <f>'Schedule 3 Adjustments'!B17:C17</f>
        <v>Diversus Health Service ATU</v>
      </c>
      <c r="C18" s="519"/>
      <c r="D18" s="364" t="str">
        <f>'Schedule 3 Adjustments'!D17</f>
        <v>ATU</v>
      </c>
      <c r="E18" s="364" t="str">
        <f>'Schedule 3 Adjustments'!E17</f>
        <v>BHE</v>
      </c>
      <c r="F18" s="369">
        <f>'Schedule 3 Adjustments'!F17</f>
        <v>16</v>
      </c>
      <c r="G18" s="372">
        <f>'Schedule 3 Adjustments'!G17</f>
        <v>0</v>
      </c>
      <c r="H18" s="372">
        <f>'Schedule 3 Adjustments'!H17</f>
        <v>0</v>
      </c>
      <c r="I18" s="213">
        <f>IF(B18=0,"",IF(AND(G18=0,H18=0),365,IF(AND(G18&gt;0,H18=0),$C$7-G18+1,IF(AND(G18=0,H18&gt;0),H18-($C$7-365),H18-G18+1))))</f>
        <v>365</v>
      </c>
      <c r="J18" s="98"/>
      <c r="K18" s="214">
        <f>SUM(K19:K21)</f>
        <v>3151</v>
      </c>
      <c r="L18" s="215">
        <f>IF(K18&gt;0,K18/(F18*I18),"")</f>
        <v>0.539554794520548</v>
      </c>
      <c r="M18" s="126">
        <f>'Schedule 3 Adjustments'!R17</f>
        <v>5773346.1970490608</v>
      </c>
      <c r="N18" s="85">
        <f>IFERROR(M18/K18,"")</f>
        <v>1832.2266572672361</v>
      </c>
      <c r="O18" s="126">
        <f>'Schedule 3 Adjustments'!W17</f>
        <v>804426.67583998712</v>
      </c>
      <c r="P18" s="85">
        <f>IFERROR(O18/K18,"")</f>
        <v>255.29250264677472</v>
      </c>
      <c r="Q18" s="86">
        <f>IF(M18=0,"",M18-O18)</f>
        <v>4968919.5212090742</v>
      </c>
      <c r="R18" s="85">
        <f>IFERROR(Q18/K18,"")</f>
        <v>1576.9341546204614</v>
      </c>
    </row>
    <row r="19" spans="1:18" x14ac:dyDescent="0.35">
      <c r="A19" s="216" t="s">
        <v>447</v>
      </c>
      <c r="B19" s="217"/>
      <c r="C19" s="217"/>
      <c r="D19" s="217"/>
      <c r="E19" s="217"/>
      <c r="F19" s="218"/>
      <c r="G19" s="219"/>
      <c r="H19" s="219"/>
      <c r="I19" s="220"/>
      <c r="J19" s="368" t="str">
        <f>'Schedule 3 Adjustments'!J18</f>
        <v>H0017</v>
      </c>
      <c r="K19" s="221">
        <f>'Schedule 3 Adjustments'!M18</f>
        <v>3151</v>
      </c>
      <c r="L19" s="222"/>
      <c r="M19" s="87"/>
      <c r="N19" s="87"/>
      <c r="O19" s="87"/>
      <c r="P19" s="87"/>
      <c r="Q19" s="87"/>
      <c r="R19" s="87"/>
    </row>
    <row r="20" spans="1:18" x14ac:dyDescent="0.35">
      <c r="A20" s="223" t="s">
        <v>448</v>
      </c>
      <c r="B20" s="224"/>
      <c r="C20" s="224"/>
      <c r="D20" s="224"/>
      <c r="E20" s="224"/>
      <c r="F20" s="225"/>
      <c r="G20" s="226"/>
      <c r="H20" s="226"/>
      <c r="I20" s="227"/>
      <c r="J20" s="370">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1">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18">
        <f>'Schedule 3 Adjustments'!B22:C22</f>
        <v>0</v>
      </c>
      <c r="C23" s="519"/>
      <c r="D23" s="364">
        <f>'Schedule 3 Adjustments'!D22</f>
        <v>0</v>
      </c>
      <c r="E23" s="364">
        <f>'Schedule 3 Adjustments'!E22</f>
        <v>0</v>
      </c>
      <c r="F23" s="369">
        <f>'Schedule 3 Adjustments'!F22</f>
        <v>0</v>
      </c>
      <c r="G23" s="372">
        <f>'Schedule 3 Adjustments'!G22</f>
        <v>0</v>
      </c>
      <c r="H23" s="372">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68">
        <f>'Schedule 3 Adjustments'!J23</f>
        <v>0</v>
      </c>
      <c r="K24" s="221">
        <f>'Schedule 3 Adjustments'!M23</f>
        <v>0</v>
      </c>
      <c r="L24" s="89"/>
      <c r="M24" s="87"/>
      <c r="N24" s="87"/>
      <c r="O24" s="87"/>
      <c r="P24" s="87"/>
      <c r="Q24" s="87"/>
      <c r="R24" s="87"/>
    </row>
    <row r="25" spans="1:18" x14ac:dyDescent="0.35">
      <c r="A25" s="102" t="s">
        <v>448</v>
      </c>
      <c r="B25" s="88"/>
      <c r="C25" s="88"/>
      <c r="D25" s="88"/>
      <c r="E25" s="88"/>
      <c r="F25" s="133"/>
      <c r="G25" s="136"/>
      <c r="H25" s="136"/>
      <c r="I25" s="105"/>
      <c r="J25" s="370">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1">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18">
        <f>'Schedule 3 Adjustments'!B27:C27</f>
        <v>0</v>
      </c>
      <c r="C28" s="519"/>
      <c r="D28" s="364">
        <f>'Schedule 3 Adjustments'!D27</f>
        <v>0</v>
      </c>
      <c r="E28" s="364">
        <f>'Schedule 3 Adjustments'!E27</f>
        <v>0</v>
      </c>
      <c r="F28" s="369">
        <f>'Schedule 3 Adjustments'!F27</f>
        <v>0</v>
      </c>
      <c r="G28" s="372">
        <f>'Schedule 3 Adjustments'!G27</f>
        <v>0</v>
      </c>
      <c r="H28" s="372">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68">
        <f>'Schedule 3 Adjustments'!J28</f>
        <v>0</v>
      </c>
      <c r="K29" s="221">
        <f>'Schedule 3 Adjustments'!M28</f>
        <v>0</v>
      </c>
      <c r="L29" s="89"/>
      <c r="M29" s="87"/>
      <c r="N29" s="87"/>
      <c r="O29" s="87"/>
      <c r="P29" s="87"/>
      <c r="Q29" s="87"/>
      <c r="R29" s="87"/>
    </row>
    <row r="30" spans="1:18" x14ac:dyDescent="0.35">
      <c r="A30" s="102" t="s">
        <v>448</v>
      </c>
      <c r="B30" s="88"/>
      <c r="C30" s="88"/>
      <c r="D30" s="88"/>
      <c r="E30" s="88"/>
      <c r="F30" s="133"/>
      <c r="G30" s="136"/>
      <c r="H30" s="136"/>
      <c r="I30" s="105"/>
      <c r="J30" s="370">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1">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18">
        <f>'Schedule 3 Adjustments'!B32:C32</f>
        <v>0</v>
      </c>
      <c r="C33" s="519"/>
      <c r="D33" s="364">
        <f>'Schedule 3 Adjustments'!D32</f>
        <v>0</v>
      </c>
      <c r="E33" s="364">
        <f>'Schedule 3 Adjustments'!E32</f>
        <v>0</v>
      </c>
      <c r="F33" s="369">
        <f>'Schedule 3 Adjustments'!F32</f>
        <v>0</v>
      </c>
      <c r="G33" s="372">
        <f>'Schedule 3 Adjustments'!G32</f>
        <v>0</v>
      </c>
      <c r="H33" s="372">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8">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70">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1">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18">
        <f>'Schedule 3 Adjustments'!B37:C37</f>
        <v>0</v>
      </c>
      <c r="C38" s="519"/>
      <c r="D38" s="364">
        <f>'Schedule 3 Adjustments'!D37</f>
        <v>0</v>
      </c>
      <c r="E38" s="364">
        <f>'Schedule 3 Adjustments'!E37</f>
        <v>0</v>
      </c>
      <c r="F38" s="369">
        <f>'Schedule 3 Adjustments'!F37</f>
        <v>0</v>
      </c>
      <c r="G38" s="372">
        <f>'Schedule 3 Adjustments'!G37</f>
        <v>0</v>
      </c>
      <c r="H38" s="372">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8">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0">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1">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18">
        <f>'Schedule 3 Adjustments'!B42:C42</f>
        <v>0</v>
      </c>
      <c r="C43" s="519"/>
      <c r="D43" s="364">
        <f>'Schedule 3 Adjustments'!D42</f>
        <v>0</v>
      </c>
      <c r="E43" s="364">
        <f>'Schedule 3 Adjustments'!E42</f>
        <v>0</v>
      </c>
      <c r="F43" s="369">
        <f>'Schedule 3 Adjustments'!F42</f>
        <v>0</v>
      </c>
      <c r="G43" s="372">
        <f>'Schedule 3 Adjustments'!G42</f>
        <v>0</v>
      </c>
      <c r="H43" s="372">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8">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70">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1">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18">
        <f>'Schedule 3 Adjustments'!B47:C47</f>
        <v>0</v>
      </c>
      <c r="C48" s="519"/>
      <c r="D48" s="364">
        <f>'Schedule 3 Adjustments'!D47</f>
        <v>0</v>
      </c>
      <c r="E48" s="364">
        <f>'Schedule 3 Adjustments'!E47</f>
        <v>0</v>
      </c>
      <c r="F48" s="369">
        <f>'Schedule 3 Adjustments'!F47</f>
        <v>0</v>
      </c>
      <c r="G48" s="372">
        <f>'Schedule 3 Adjustments'!G47</f>
        <v>0</v>
      </c>
      <c r="H48" s="372">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8">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0">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1">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18">
        <f>'Schedule 3 Adjustments'!B52:C52</f>
        <v>0</v>
      </c>
      <c r="C53" s="519"/>
      <c r="D53" s="364">
        <f>'Schedule 3 Adjustments'!D52</f>
        <v>0</v>
      </c>
      <c r="E53" s="364">
        <f>'Schedule 3 Adjustments'!E52</f>
        <v>0</v>
      </c>
      <c r="F53" s="369">
        <f>'Schedule 3 Adjustments'!F52</f>
        <v>0</v>
      </c>
      <c r="G53" s="372">
        <f>'Schedule 3 Adjustments'!G52</f>
        <v>0</v>
      </c>
      <c r="H53" s="372">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8">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0">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1">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18">
        <f>'Schedule 3 Adjustments'!B57:C57</f>
        <v>0</v>
      </c>
      <c r="C58" s="519"/>
      <c r="D58" s="364">
        <f>'Schedule 3 Adjustments'!D57</f>
        <v>0</v>
      </c>
      <c r="E58" s="364">
        <f>'Schedule 3 Adjustments'!E57</f>
        <v>0</v>
      </c>
      <c r="F58" s="369">
        <f>'Schedule 3 Adjustments'!F57</f>
        <v>0</v>
      </c>
      <c r="G58" s="372">
        <f>'Schedule 3 Adjustments'!G57</f>
        <v>0</v>
      </c>
      <c r="H58" s="372">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8">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0">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1">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18">
        <f>'Schedule 3 Adjustments'!B62:C62</f>
        <v>0</v>
      </c>
      <c r="C63" s="519"/>
      <c r="D63" s="364">
        <f>'Schedule 3 Adjustments'!D62</f>
        <v>0</v>
      </c>
      <c r="E63" s="364">
        <f>'Schedule 3 Adjustments'!E62</f>
        <v>0</v>
      </c>
      <c r="F63" s="369">
        <f>'Schedule 3 Adjustments'!F62</f>
        <v>0</v>
      </c>
      <c r="G63" s="372">
        <f>'Schedule 3 Adjustments'!G62</f>
        <v>0</v>
      </c>
      <c r="H63" s="372">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8">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0">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1">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18">
        <f>'Schedule 3 Adjustments'!B67:C67</f>
        <v>0</v>
      </c>
      <c r="C68" s="519"/>
      <c r="D68" s="364">
        <f>'Schedule 3 Adjustments'!D67</f>
        <v>0</v>
      </c>
      <c r="E68" s="364">
        <f>'Schedule 3 Adjustments'!E67</f>
        <v>0</v>
      </c>
      <c r="F68" s="369">
        <f>'Schedule 3 Adjustments'!F67</f>
        <v>0</v>
      </c>
      <c r="G68" s="372">
        <f>'Schedule 3 Adjustments'!G67</f>
        <v>0</v>
      </c>
      <c r="H68" s="372">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8">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0">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1">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18">
        <f>'Schedule 3 Adjustments'!B72:C72</f>
        <v>0</v>
      </c>
      <c r="C73" s="519"/>
      <c r="D73" s="364">
        <f>'Schedule 3 Adjustments'!D72</f>
        <v>0</v>
      </c>
      <c r="E73" s="364">
        <f>'Schedule 3 Adjustments'!E72</f>
        <v>0</v>
      </c>
      <c r="F73" s="369">
        <f>'Schedule 3 Adjustments'!F72</f>
        <v>0</v>
      </c>
      <c r="G73" s="372">
        <f>'Schedule 3 Adjustments'!G72</f>
        <v>0</v>
      </c>
      <c r="H73" s="372">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8">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0">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1">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18">
        <f>'Schedule 3 Adjustments'!B77:C77</f>
        <v>0</v>
      </c>
      <c r="C78" s="519"/>
      <c r="D78" s="364">
        <f>'Schedule 3 Adjustments'!D77</f>
        <v>0</v>
      </c>
      <c r="E78" s="364">
        <f>'Schedule 3 Adjustments'!E77</f>
        <v>0</v>
      </c>
      <c r="F78" s="369">
        <f>'Schedule 3 Adjustments'!F77</f>
        <v>0</v>
      </c>
      <c r="G78" s="372">
        <f>'Schedule 3 Adjustments'!G77</f>
        <v>0</v>
      </c>
      <c r="H78" s="372">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8">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0">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1">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18">
        <f>'Schedule 3 Adjustments'!B82:C82</f>
        <v>0</v>
      </c>
      <c r="C83" s="519"/>
      <c r="D83" s="364">
        <f>'Schedule 3 Adjustments'!D82</f>
        <v>0</v>
      </c>
      <c r="E83" s="364">
        <f>'Schedule 3 Adjustments'!E82</f>
        <v>0</v>
      </c>
      <c r="F83" s="369">
        <f>'Schedule 3 Adjustments'!F82</f>
        <v>0</v>
      </c>
      <c r="G83" s="372">
        <f>'Schedule 3 Adjustments'!G82</f>
        <v>0</v>
      </c>
      <c r="H83" s="372">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8">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0">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1">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18">
        <f>'Schedule 3 Adjustments'!B87:C87</f>
        <v>0</v>
      </c>
      <c r="C88" s="519"/>
      <c r="D88" s="364">
        <f>'Schedule 3 Adjustments'!D87</f>
        <v>0</v>
      </c>
      <c r="E88" s="364">
        <f>'Schedule 3 Adjustments'!E87</f>
        <v>0</v>
      </c>
      <c r="F88" s="369">
        <f>'Schedule 3 Adjustments'!F87</f>
        <v>0</v>
      </c>
      <c r="G88" s="372">
        <f>'Schedule 3 Adjustments'!G87</f>
        <v>0</v>
      </c>
      <c r="H88" s="372">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8">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0">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1">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18">
        <f>'Schedule 3 Adjustments'!B92:C92</f>
        <v>0</v>
      </c>
      <c r="C93" s="519"/>
      <c r="D93" s="364">
        <f>'Schedule 3 Adjustments'!D92</f>
        <v>0</v>
      </c>
      <c r="E93" s="364">
        <f>'Schedule 3 Adjustments'!E92</f>
        <v>0</v>
      </c>
      <c r="F93" s="369">
        <f>'Schedule 3 Adjustments'!F92</f>
        <v>0</v>
      </c>
      <c r="G93" s="372">
        <f>'Schedule 3 Adjustments'!G92</f>
        <v>0</v>
      </c>
      <c r="H93" s="372">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8">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0">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1">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18">
        <f>'Schedule 3 Adjustments'!B97:C97</f>
        <v>0</v>
      </c>
      <c r="C98" s="519"/>
      <c r="D98" s="364">
        <f>'Schedule 3 Adjustments'!D97</f>
        <v>0</v>
      </c>
      <c r="E98" s="364">
        <f>'Schedule 3 Adjustments'!E97</f>
        <v>0</v>
      </c>
      <c r="F98" s="369">
        <f>'Schedule 3 Adjustments'!F97</f>
        <v>0</v>
      </c>
      <c r="G98" s="372">
        <f>'Schedule 3 Adjustments'!G97</f>
        <v>0</v>
      </c>
      <c r="H98" s="372">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8">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0">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1">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18">
        <f>'Schedule 3 Adjustments'!B102:C102</f>
        <v>0</v>
      </c>
      <c r="C103" s="519"/>
      <c r="D103" s="364">
        <f>'Schedule 3 Adjustments'!D102</f>
        <v>0</v>
      </c>
      <c r="E103" s="364">
        <f>'Schedule 3 Adjustments'!E102</f>
        <v>0</v>
      </c>
      <c r="F103" s="369">
        <f>'Schedule 3 Adjustments'!F102</f>
        <v>0</v>
      </c>
      <c r="G103" s="372">
        <f>'Schedule 3 Adjustments'!G102</f>
        <v>0</v>
      </c>
      <c r="H103" s="372">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8">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0">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1">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18">
        <f>'Schedule 3 Adjustments'!B107:C107</f>
        <v>0</v>
      </c>
      <c r="C108" s="519"/>
      <c r="D108" s="364">
        <f>'Schedule 3 Adjustments'!D107</f>
        <v>0</v>
      </c>
      <c r="E108" s="364">
        <f>'Schedule 3 Adjustments'!E107</f>
        <v>0</v>
      </c>
      <c r="F108" s="369">
        <f>'Schedule 3 Adjustments'!F107</f>
        <v>0</v>
      </c>
      <c r="G108" s="372">
        <f>'Schedule 3 Adjustments'!G107</f>
        <v>0</v>
      </c>
      <c r="H108" s="372">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8">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0">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1">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18">
        <f>'Schedule 3 Adjustments'!B112:C112</f>
        <v>0</v>
      </c>
      <c r="C113" s="519"/>
      <c r="D113" s="364">
        <f>'Schedule 3 Adjustments'!D112</f>
        <v>0</v>
      </c>
      <c r="E113" s="364">
        <f>'Schedule 3 Adjustments'!E112</f>
        <v>0</v>
      </c>
      <c r="F113" s="369">
        <f>'Schedule 3 Adjustments'!F112</f>
        <v>0</v>
      </c>
      <c r="G113" s="372">
        <f>'Schedule 3 Adjustments'!G112</f>
        <v>0</v>
      </c>
      <c r="H113" s="372">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8">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0">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1">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18">
        <f>'Schedule 3 Adjustments'!B117:C117</f>
        <v>0</v>
      </c>
      <c r="C118" s="519"/>
      <c r="D118" s="364">
        <f>'Schedule 3 Adjustments'!D117</f>
        <v>0</v>
      </c>
      <c r="E118" s="364">
        <f>'Schedule 3 Adjustments'!E117</f>
        <v>0</v>
      </c>
      <c r="F118" s="369">
        <f>'Schedule 3 Adjustments'!F117</f>
        <v>0</v>
      </c>
      <c r="G118" s="372">
        <f>'Schedule 3 Adjustments'!G117</f>
        <v>0</v>
      </c>
      <c r="H118" s="372">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8">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0">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1">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18">
        <f>'Schedule 3 Adjustments'!B122:C122</f>
        <v>0</v>
      </c>
      <c r="C123" s="519"/>
      <c r="D123" s="364">
        <f>'Schedule 3 Adjustments'!D122</f>
        <v>0</v>
      </c>
      <c r="E123" s="364">
        <f>'Schedule 3 Adjustments'!E122</f>
        <v>0</v>
      </c>
      <c r="F123" s="369">
        <f>'Schedule 3 Adjustments'!F122</f>
        <v>0</v>
      </c>
      <c r="G123" s="372">
        <f>'Schedule 3 Adjustments'!G122</f>
        <v>0</v>
      </c>
      <c r="H123" s="372">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8">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0">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1">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18">
        <f>'Schedule 3 Adjustments'!B127:C127</f>
        <v>0</v>
      </c>
      <c r="C128" s="519"/>
      <c r="D128" s="364">
        <f>'Schedule 3 Adjustments'!D127</f>
        <v>0</v>
      </c>
      <c r="E128" s="364">
        <f>'Schedule 3 Adjustments'!E127</f>
        <v>0</v>
      </c>
      <c r="F128" s="369">
        <f>'Schedule 3 Adjustments'!F127</f>
        <v>0</v>
      </c>
      <c r="G128" s="372">
        <f>'Schedule 3 Adjustments'!G127</f>
        <v>0</v>
      </c>
      <c r="H128" s="372">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8">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0">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1">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18">
        <f>'Schedule 3 Adjustments'!B132:C132</f>
        <v>0</v>
      </c>
      <c r="C133" s="519"/>
      <c r="D133" s="364">
        <f>'Schedule 3 Adjustments'!D132</f>
        <v>0</v>
      </c>
      <c r="E133" s="364">
        <f>'Schedule 3 Adjustments'!E132</f>
        <v>0</v>
      </c>
      <c r="F133" s="369">
        <f>'Schedule 3 Adjustments'!F132</f>
        <v>0</v>
      </c>
      <c r="G133" s="372">
        <f>'Schedule 3 Adjustments'!G132</f>
        <v>0</v>
      </c>
      <c r="H133" s="372">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8">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0">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1">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18">
        <f>'Schedule 3 Adjustments'!B137:C137</f>
        <v>0</v>
      </c>
      <c r="C138" s="519"/>
      <c r="D138" s="364">
        <f>'Schedule 3 Adjustments'!D137</f>
        <v>0</v>
      </c>
      <c r="E138" s="364">
        <f>'Schedule 3 Adjustments'!E137</f>
        <v>0</v>
      </c>
      <c r="F138" s="369">
        <f>'Schedule 3 Adjustments'!F137</f>
        <v>0</v>
      </c>
      <c r="G138" s="372">
        <f>'Schedule 3 Adjustments'!G137</f>
        <v>0</v>
      </c>
      <c r="H138" s="372">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8">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0">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1">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18">
        <f>'Schedule 3 Adjustments'!B142:C142</f>
        <v>0</v>
      </c>
      <c r="C143" s="519"/>
      <c r="D143" s="364">
        <f>'Schedule 3 Adjustments'!D142</f>
        <v>0</v>
      </c>
      <c r="E143" s="364">
        <f>'Schedule 3 Adjustments'!E142</f>
        <v>0</v>
      </c>
      <c r="F143" s="369">
        <f>'Schedule 3 Adjustments'!F142</f>
        <v>0</v>
      </c>
      <c r="G143" s="372">
        <f>'Schedule 3 Adjustments'!G142</f>
        <v>0</v>
      </c>
      <c r="H143" s="372">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8">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0">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1">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18">
        <f>'Schedule 3 Adjustments'!B147:C147</f>
        <v>0</v>
      </c>
      <c r="C148" s="519"/>
      <c r="D148" s="364">
        <f>'Schedule 3 Adjustments'!D147</f>
        <v>0</v>
      </c>
      <c r="E148" s="364">
        <f>'Schedule 3 Adjustments'!E147</f>
        <v>0</v>
      </c>
      <c r="F148" s="369">
        <f>'Schedule 3 Adjustments'!F147</f>
        <v>0</v>
      </c>
      <c r="G148" s="372">
        <f>'Schedule 3 Adjustments'!G147</f>
        <v>0</v>
      </c>
      <c r="H148" s="372">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8">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0">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1">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18">
        <f>'Schedule 3 Adjustments'!B152:C152</f>
        <v>0</v>
      </c>
      <c r="C153" s="519"/>
      <c r="D153" s="364">
        <f>'Schedule 3 Adjustments'!D152</f>
        <v>0</v>
      </c>
      <c r="E153" s="364">
        <f>'Schedule 3 Adjustments'!E152</f>
        <v>0</v>
      </c>
      <c r="F153" s="369">
        <f>'Schedule 3 Adjustments'!F152</f>
        <v>0</v>
      </c>
      <c r="G153" s="372">
        <f>'Schedule 3 Adjustments'!G152</f>
        <v>0</v>
      </c>
      <c r="H153" s="372">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8">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0">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1">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18">
        <f>'Schedule 3 Adjustments'!B157:C157</f>
        <v>0</v>
      </c>
      <c r="C158" s="519"/>
      <c r="D158" s="364">
        <f>'Schedule 3 Adjustments'!D157</f>
        <v>0</v>
      </c>
      <c r="E158" s="364">
        <f>'Schedule 3 Adjustments'!E157</f>
        <v>0</v>
      </c>
      <c r="F158" s="369">
        <f>'Schedule 3 Adjustments'!F157</f>
        <v>0</v>
      </c>
      <c r="G158" s="372">
        <f>'Schedule 3 Adjustments'!G157</f>
        <v>0</v>
      </c>
      <c r="H158" s="372">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8">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0">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1">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18">
        <f>'Schedule 3 Adjustments'!B162:C162</f>
        <v>0</v>
      </c>
      <c r="C163" s="519"/>
      <c r="D163" s="364">
        <f>'Schedule 3 Adjustments'!D162</f>
        <v>0</v>
      </c>
      <c r="E163" s="364">
        <f>'Schedule 3 Adjustments'!E162</f>
        <v>0</v>
      </c>
      <c r="F163" s="369">
        <f>'Schedule 3 Adjustments'!F162</f>
        <v>0</v>
      </c>
      <c r="G163" s="372">
        <f>'Schedule 3 Adjustments'!G162</f>
        <v>0</v>
      </c>
      <c r="H163" s="372">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8">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0">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1">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17" t="s">
        <v>173</v>
      </c>
      <c r="C168" s="517"/>
      <c r="D168" s="517"/>
      <c r="E168" s="517"/>
      <c r="F168" s="27">
        <f>F163+F158+F153+F148+F143+F138+F133+F128+F123+F118+F113+F108+F103+F98+F93+F88+F83+F78+F73+F68+F63+F58+F53+F48+F43+F38+F33+F28+F23+F18</f>
        <v>16</v>
      </c>
      <c r="G168" s="32"/>
      <c r="H168" s="32"/>
      <c r="I168" s="32"/>
      <c r="J168" s="32"/>
      <c r="K168" s="27">
        <f>K163+K158+K153+K148+K143+K138+K133+K128+K123+K118+K113+K108+K103+K98+K93+K88+K83+K78+K73+K68+K63+K58+K53+K48+K43+K38+K33+K28+K23+K18</f>
        <v>3151</v>
      </c>
      <c r="L168" s="29">
        <f>IF(K168&gt;0,K168/(F168*365),"")</f>
        <v>0.539554794520548</v>
      </c>
      <c r="M168" s="27">
        <f>M163+M158+M153+M148+M143+M138+M133+M128+M123+M118+M113+M108+M103+M98+M93+M88+M83+M78+M73+M68+M63+M58+M53+M48+M43+M38+M33+M28+M23+M18</f>
        <v>5773346.1970490608</v>
      </c>
      <c r="N168" s="17">
        <f>IFERROR(M168/K168,"")</f>
        <v>1832.2266572672361</v>
      </c>
      <c r="O168" s="27">
        <f>O163+O158+O153+O148+O143+O138+O133+O128+O123+O118+O113+O108+O103+O98+O93+O88+O83+O78+O73+O68+O63+O58+O53+O48+O43+O38+O33+O28+O23+O18</f>
        <v>804426.67583998712</v>
      </c>
      <c r="P168" s="17">
        <f t="shared" ref="P168" si="0">IFERROR(O168/K168,"")</f>
        <v>255.29250264677472</v>
      </c>
      <c r="Q168" s="30">
        <f t="shared" ref="Q168" si="1">IF(M168=0,"",M168-O168)</f>
        <v>4968919.5212090742</v>
      </c>
      <c r="R168" s="17">
        <f t="shared" ref="R168" si="2">IFERROR(Q168/K168,"")</f>
        <v>1576.9341546204614</v>
      </c>
    </row>
    <row r="170" spans="1:18" x14ac:dyDescent="0.35">
      <c r="A170" s="19">
        <v>32</v>
      </c>
      <c r="L170" s="37" t="s">
        <v>199</v>
      </c>
      <c r="M170" s="39">
        <f>'Schedule 3 Adjustments'!R169</f>
        <v>3981756.2478900878</v>
      </c>
    </row>
    <row r="171" spans="1:18" x14ac:dyDescent="0.35">
      <c r="A171" s="19">
        <v>33</v>
      </c>
      <c r="L171" s="37" t="s">
        <v>186</v>
      </c>
      <c r="M171" s="39">
        <f>'Schedule 3 Adjustments'!R170</f>
        <v>1791589.9491589726</v>
      </c>
    </row>
    <row r="172" spans="1:18" x14ac:dyDescent="0.35">
      <c r="A172" s="19">
        <v>34</v>
      </c>
      <c r="L172" s="37" t="s">
        <v>200</v>
      </c>
      <c r="M172" s="18">
        <f>SUM(M170:M171)</f>
        <v>5773346.1970490608</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3151</v>
      </c>
      <c r="L178" s="27">
        <f>'Adjusted Schedule 4'!D126+'Adjusted Schedule 4'!H126</f>
        <v>3151</v>
      </c>
      <c r="M178" s="27">
        <f t="shared" si="3"/>
        <v>0</v>
      </c>
      <c r="N178" s="92" t="str">
        <f t="shared" si="4"/>
        <v/>
      </c>
    </row>
    <row r="179" spans="1:14" x14ac:dyDescent="0.35">
      <c r="A179" s="19">
        <v>39</v>
      </c>
      <c r="C179" s="234" t="s">
        <v>468</v>
      </c>
      <c r="D179" s="235"/>
      <c r="E179" s="235"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477</v>
      </c>
      <c r="D180" s="235"/>
      <c r="E180" s="235"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scale="31"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pageSetUpPr fitToPage="1"/>
  </sheetPr>
  <dimension ref="A1:L198"/>
  <sheetViews>
    <sheetView workbookViewId="0"/>
  </sheetViews>
  <sheetFormatPr defaultColWidth="9.089843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089843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4.9" customHeight="1" x14ac:dyDescent="0.5">
      <c r="A3" s="5" t="s">
        <v>928</v>
      </c>
      <c r="B3" s="5"/>
      <c r="C3" s="7"/>
      <c r="D3" s="54"/>
      <c r="E3" s="51"/>
      <c r="F3" s="51"/>
      <c r="G3" s="52"/>
      <c r="H3" s="52"/>
      <c r="I3" s="14"/>
      <c r="J3" s="14"/>
    </row>
    <row r="4" spans="1:12" ht="24.9" customHeight="1" x14ac:dyDescent="0.5">
      <c r="A4" s="243" t="str">
        <f>Results!A4</f>
        <v>Final Adjustments</v>
      </c>
      <c r="B4" s="5"/>
      <c r="C4" s="7"/>
      <c r="D4" s="54"/>
      <c r="E4" s="51"/>
      <c r="F4" s="51"/>
      <c r="G4" s="52"/>
      <c r="H4" s="52"/>
      <c r="I4" s="14"/>
      <c r="J4" s="14"/>
    </row>
    <row r="5" spans="1:12" x14ac:dyDescent="0.35">
      <c r="D5" s="54"/>
      <c r="E5" s="49"/>
      <c r="F5" s="49"/>
      <c r="G5" s="50"/>
      <c r="H5" s="50"/>
      <c r="K5" s="529"/>
      <c r="L5" s="529"/>
    </row>
    <row r="6" spans="1:12" ht="15" customHeight="1" x14ac:dyDescent="0.35">
      <c r="A6" s="1" t="s">
        <v>773</v>
      </c>
      <c r="C6" s="420" t="str">
        <f>Results!$C$6</f>
        <v>Diversus Health</v>
      </c>
      <c r="D6" s="55"/>
      <c r="E6" s="53"/>
      <c r="F6" s="53"/>
      <c r="G6" s="50"/>
      <c r="H6" s="50"/>
      <c r="K6" s="529"/>
      <c r="L6" s="529"/>
    </row>
    <row r="7" spans="1:12" x14ac:dyDescent="0.35">
      <c r="A7" s="1" t="s">
        <v>0</v>
      </c>
      <c r="C7" s="35">
        <f>Results!$C$7</f>
        <v>45473</v>
      </c>
      <c r="D7" s="35"/>
      <c r="E7" s="35"/>
      <c r="F7" s="35"/>
      <c r="K7" s="529"/>
      <c r="L7" s="529"/>
    </row>
    <row r="8" spans="1:12" x14ac:dyDescent="0.35">
      <c r="A8" s="1"/>
      <c r="C8" s="35"/>
      <c r="D8" s="23">
        <v>1</v>
      </c>
      <c r="E8" s="35"/>
      <c r="F8" s="23">
        <v>3</v>
      </c>
      <c r="H8" s="205"/>
      <c r="I8" s="175">
        <v>6</v>
      </c>
      <c r="J8" s="205"/>
      <c r="K8" s="175">
        <v>8</v>
      </c>
      <c r="L8" s="81"/>
    </row>
    <row r="9" spans="1:12" x14ac:dyDescent="0.35">
      <c r="A9" s="19">
        <v>1</v>
      </c>
      <c r="C9" s="46" t="s">
        <v>705</v>
      </c>
      <c r="D9" s="26">
        <f>'Adjusted Schedule 1'!F96</f>
        <v>36037838.667005494</v>
      </c>
      <c r="E9" s="46" t="s">
        <v>708</v>
      </c>
      <c r="F9" s="31">
        <f>F198</f>
        <v>36135.040000000001</v>
      </c>
      <c r="H9" s="426" t="s">
        <v>862</v>
      </c>
      <c r="I9" s="26">
        <f>'Adjusted Schedule 1'!F96</f>
        <v>36037838.667005494</v>
      </c>
      <c r="J9" s="426" t="s">
        <v>865</v>
      </c>
      <c r="K9" s="180">
        <f>'Schedule 4 Adjustments'!S8</f>
        <v>138232</v>
      </c>
      <c r="L9" s="25"/>
    </row>
    <row r="10" spans="1:12" x14ac:dyDescent="0.35">
      <c r="A10" s="19">
        <v>2</v>
      </c>
      <c r="C10" s="46" t="s">
        <v>706</v>
      </c>
      <c r="D10" s="117">
        <f>'Schedule 4 Adjustments'!F9</f>
        <v>0</v>
      </c>
      <c r="E10" s="46" t="s">
        <v>709</v>
      </c>
      <c r="F10" s="31">
        <f>J198</f>
        <v>350327.89999999997</v>
      </c>
      <c r="H10" s="426" t="s">
        <v>863</v>
      </c>
      <c r="I10" s="180">
        <f>'Schedule 4 Adjustments'!O9</f>
        <v>0</v>
      </c>
      <c r="J10" s="533"/>
      <c r="K10" s="533"/>
      <c r="L10" s="45"/>
    </row>
    <row r="11" spans="1:12" x14ac:dyDescent="0.35">
      <c r="A11" s="19">
        <v>3</v>
      </c>
      <c r="C11" s="42" t="s">
        <v>707</v>
      </c>
      <c r="D11" s="18">
        <f>D9-D10</f>
        <v>36037838.667005494</v>
      </c>
      <c r="E11" s="42" t="s">
        <v>710</v>
      </c>
      <c r="F11" s="9">
        <f>SUM(F9:F10)</f>
        <v>386462.93999999994</v>
      </c>
      <c r="H11" s="427" t="s">
        <v>864</v>
      </c>
      <c r="I11" s="185">
        <f>I9-I10</f>
        <v>36037838.667005494</v>
      </c>
      <c r="J11" s="533"/>
      <c r="K11" s="533"/>
      <c r="L11" s="45"/>
    </row>
    <row r="12" spans="1:12" x14ac:dyDescent="0.35">
      <c r="A12" s="1"/>
      <c r="H12" s="206"/>
      <c r="I12" s="206"/>
      <c r="J12" s="533"/>
      <c r="K12" s="534"/>
      <c r="L12" s="45"/>
    </row>
    <row r="13" spans="1:12" ht="18.5" x14ac:dyDescent="0.45">
      <c r="A13" s="19">
        <v>4</v>
      </c>
      <c r="E13" s="44" t="s">
        <v>711</v>
      </c>
      <c r="F13" s="43">
        <f>D11/F11</f>
        <v>93.250438624219697</v>
      </c>
      <c r="H13" s="206"/>
      <c r="I13" s="206"/>
      <c r="J13" s="428" t="s">
        <v>866</v>
      </c>
      <c r="K13" s="429">
        <f>I11/K9</f>
        <v>260.70547099807203</v>
      </c>
      <c r="L13" s="45"/>
    </row>
    <row r="14" spans="1:12" x14ac:dyDescent="0.35">
      <c r="A14" s="1"/>
      <c r="B14" s="421"/>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30" t="s">
        <v>191</v>
      </c>
      <c r="E16" s="531"/>
      <c r="F16" s="531"/>
      <c r="G16" s="532"/>
      <c r="H16" s="530" t="s">
        <v>192</v>
      </c>
      <c r="I16" s="531"/>
      <c r="J16" s="531"/>
      <c r="K16" s="532"/>
    </row>
    <row r="17" spans="1:11" ht="43.5" x14ac:dyDescent="0.35">
      <c r="B17" s="208" t="s">
        <v>40</v>
      </c>
      <c r="C17" s="208" t="s">
        <v>11</v>
      </c>
      <c r="D17" s="208" t="s">
        <v>713</v>
      </c>
      <c r="E17" s="239" t="s">
        <v>712</v>
      </c>
      <c r="F17" s="376" t="s">
        <v>715</v>
      </c>
      <c r="G17" s="240" t="s">
        <v>714</v>
      </c>
      <c r="H17" s="240" t="s">
        <v>716</v>
      </c>
      <c r="I17" s="239" t="s">
        <v>484</v>
      </c>
      <c r="J17" s="16" t="s">
        <v>717</v>
      </c>
      <c r="K17" s="15" t="s">
        <v>718</v>
      </c>
    </row>
    <row r="18" spans="1:11" s="22" customFormat="1" x14ac:dyDescent="0.35">
      <c r="A18" s="19">
        <v>5</v>
      </c>
      <c r="B18" s="423" t="s">
        <v>787</v>
      </c>
      <c r="C18" s="20" t="s">
        <v>788</v>
      </c>
      <c r="D18" s="116">
        <f>'Schedule 4 Adjustments'!F17</f>
        <v>0</v>
      </c>
      <c r="E18" s="409">
        <v>0</v>
      </c>
      <c r="F18" s="148">
        <f>D18*E18</f>
        <v>0</v>
      </c>
      <c r="G18" s="149">
        <f t="shared" ref="G18:G82" si="0">E18*$F$13</f>
        <v>0</v>
      </c>
      <c r="H18" s="150">
        <f>'Schedule 4 Adjustments'!N17</f>
        <v>0</v>
      </c>
      <c r="I18" s="409">
        <v>0</v>
      </c>
      <c r="J18" s="47">
        <f>H18*I18</f>
        <v>0</v>
      </c>
      <c r="K18" s="21">
        <f t="shared" ref="K18" si="1">I18*$F$13</f>
        <v>0</v>
      </c>
    </row>
    <row r="19" spans="1:11" s="22" customFormat="1" x14ac:dyDescent="0.35">
      <c r="A19" s="19">
        <v>6</v>
      </c>
      <c r="B19" s="19">
        <v>80305</v>
      </c>
      <c r="C19" s="20" t="s">
        <v>111</v>
      </c>
      <c r="D19" s="116">
        <f>'Schedule 4 Adjustments'!F18</f>
        <v>0</v>
      </c>
      <c r="E19" s="409">
        <v>0</v>
      </c>
      <c r="F19" s="148">
        <f>D19*E19</f>
        <v>0</v>
      </c>
      <c r="G19" s="149">
        <f t="shared" si="0"/>
        <v>0</v>
      </c>
      <c r="H19" s="150">
        <f>'Schedule 4 Adjustments'!N18</f>
        <v>0</v>
      </c>
      <c r="I19" s="409">
        <v>0</v>
      </c>
      <c r="J19" s="47">
        <f>H19*I19</f>
        <v>0</v>
      </c>
      <c r="K19" s="21">
        <f t="shared" ref="K19:K82" si="2">I19*$F$13</f>
        <v>0</v>
      </c>
    </row>
    <row r="20" spans="1:11" s="22" customFormat="1" x14ac:dyDescent="0.35">
      <c r="A20" s="19">
        <v>7</v>
      </c>
      <c r="B20" s="19">
        <v>80306</v>
      </c>
      <c r="C20" s="20" t="s">
        <v>41</v>
      </c>
      <c r="D20" s="116">
        <f>'Schedule 4 Adjustments'!F19</f>
        <v>0</v>
      </c>
      <c r="E20" s="409">
        <v>0</v>
      </c>
      <c r="F20" s="148">
        <f>D20*E20</f>
        <v>0</v>
      </c>
      <c r="G20" s="149">
        <f t="shared" si="0"/>
        <v>0</v>
      </c>
      <c r="H20" s="150">
        <f>'Schedule 4 Adjustments'!N19</f>
        <v>0</v>
      </c>
      <c r="I20" s="409">
        <v>0</v>
      </c>
      <c r="J20" s="47">
        <f t="shared" ref="J20:J83" si="3">H20*I20</f>
        <v>0</v>
      </c>
      <c r="K20" s="21">
        <f t="shared" si="2"/>
        <v>0</v>
      </c>
    </row>
    <row r="21" spans="1:11" s="22" customFormat="1" x14ac:dyDescent="0.35">
      <c r="A21" s="19">
        <v>8</v>
      </c>
      <c r="B21" s="19">
        <v>82075</v>
      </c>
      <c r="C21" s="20" t="s">
        <v>112</v>
      </c>
      <c r="D21" s="116">
        <f>'Schedule 4 Adjustments'!F20</f>
        <v>0</v>
      </c>
      <c r="E21" s="409">
        <v>0</v>
      </c>
      <c r="F21" s="148">
        <f t="shared" ref="F21:F84" si="4">D21*E21</f>
        <v>0</v>
      </c>
      <c r="G21" s="149">
        <f t="shared" si="0"/>
        <v>0</v>
      </c>
      <c r="H21" s="150">
        <f>'Schedule 4 Adjustments'!N20</f>
        <v>0</v>
      </c>
      <c r="I21" s="409">
        <v>0</v>
      </c>
      <c r="J21" s="47">
        <f t="shared" si="3"/>
        <v>0</v>
      </c>
      <c r="K21" s="21">
        <f t="shared" si="2"/>
        <v>0</v>
      </c>
    </row>
    <row r="22" spans="1:11" s="22" customFormat="1" x14ac:dyDescent="0.35">
      <c r="A22" s="19">
        <v>9</v>
      </c>
      <c r="B22" s="19">
        <v>90785</v>
      </c>
      <c r="C22" s="20" t="s">
        <v>319</v>
      </c>
      <c r="D22" s="116">
        <f>'Schedule 4 Adjustments'!F21</f>
        <v>3</v>
      </c>
      <c r="E22" s="409">
        <v>0.44</v>
      </c>
      <c r="F22" s="47">
        <f t="shared" si="4"/>
        <v>1.32</v>
      </c>
      <c r="G22" s="21">
        <f t="shared" si="0"/>
        <v>41.030192994656666</v>
      </c>
      <c r="H22" s="150">
        <f>'Schedule 4 Adjustments'!N21</f>
        <v>475</v>
      </c>
      <c r="I22" s="409">
        <v>0.39</v>
      </c>
      <c r="J22" s="47">
        <f t="shared" si="3"/>
        <v>185.25</v>
      </c>
      <c r="K22" s="21">
        <f t="shared" si="2"/>
        <v>36.367671063445684</v>
      </c>
    </row>
    <row r="23" spans="1:11" s="22" customFormat="1" x14ac:dyDescent="0.35">
      <c r="A23" s="19">
        <v>10</v>
      </c>
      <c r="B23" s="19">
        <v>90791</v>
      </c>
      <c r="C23" s="20" t="s">
        <v>320</v>
      </c>
      <c r="D23" s="116">
        <f>'Schedule 4 Adjustments'!F22</f>
        <v>275</v>
      </c>
      <c r="E23" s="409">
        <v>5.17</v>
      </c>
      <c r="F23" s="47">
        <f t="shared" si="4"/>
        <v>1421.75</v>
      </c>
      <c r="G23" s="21">
        <f t="shared" si="0"/>
        <v>482.10476768721583</v>
      </c>
      <c r="H23" s="150">
        <f>'Schedule 4 Adjustments'!N22</f>
        <v>6574</v>
      </c>
      <c r="I23" s="409">
        <v>4.43</v>
      </c>
      <c r="J23" s="47">
        <f t="shared" si="3"/>
        <v>29122.82</v>
      </c>
      <c r="K23" s="21">
        <f t="shared" si="2"/>
        <v>413.09944310529323</v>
      </c>
    </row>
    <row r="24" spans="1:11" s="22" customFormat="1" x14ac:dyDescent="0.35">
      <c r="A24" s="19">
        <v>11</v>
      </c>
      <c r="B24" s="19">
        <v>90792</v>
      </c>
      <c r="C24" s="20" t="s">
        <v>321</v>
      </c>
      <c r="D24" s="116">
        <f>'Schedule 4 Adjustments'!F23</f>
        <v>69</v>
      </c>
      <c r="E24" s="409">
        <v>5.82</v>
      </c>
      <c r="F24" s="47">
        <f t="shared" si="4"/>
        <v>401.58000000000004</v>
      </c>
      <c r="G24" s="21">
        <f t="shared" si="0"/>
        <v>542.71755279295871</v>
      </c>
      <c r="H24" s="150">
        <f>'Schedule 4 Adjustments'!N23</f>
        <v>2801</v>
      </c>
      <c r="I24" s="409">
        <v>5.08</v>
      </c>
      <c r="J24" s="47">
        <f t="shared" si="3"/>
        <v>14229.08</v>
      </c>
      <c r="K24" s="21">
        <f t="shared" si="2"/>
        <v>473.71222821103606</v>
      </c>
    </row>
    <row r="25" spans="1:11" s="22" customFormat="1" x14ac:dyDescent="0.35">
      <c r="A25" s="19">
        <v>12</v>
      </c>
      <c r="B25" s="19">
        <v>90832</v>
      </c>
      <c r="C25" s="20" t="s">
        <v>325</v>
      </c>
      <c r="D25" s="116">
        <f>'Schedule 4 Adjustments'!F24</f>
        <v>406</v>
      </c>
      <c r="E25" s="409">
        <v>2.35</v>
      </c>
      <c r="F25" s="47">
        <f t="shared" si="4"/>
        <v>954.1</v>
      </c>
      <c r="G25" s="21">
        <f t="shared" si="0"/>
        <v>219.13853076691629</v>
      </c>
      <c r="H25" s="150">
        <f>'Schedule 4 Adjustments'!N24</f>
        <v>6201</v>
      </c>
      <c r="I25" s="409">
        <v>2.0499999999999998</v>
      </c>
      <c r="J25" s="47">
        <f t="shared" si="3"/>
        <v>12712.05</v>
      </c>
      <c r="K25" s="21">
        <f t="shared" si="2"/>
        <v>191.16339917965036</v>
      </c>
    </row>
    <row r="26" spans="1:11" s="22" customFormat="1" x14ac:dyDescent="0.35">
      <c r="A26" s="19">
        <v>13</v>
      </c>
      <c r="B26" s="19">
        <v>90833</v>
      </c>
      <c r="C26" s="20" t="s">
        <v>322</v>
      </c>
      <c r="D26" s="116">
        <f>'Schedule 4 Adjustments'!F25</f>
        <v>0</v>
      </c>
      <c r="E26" s="409">
        <v>2.16</v>
      </c>
      <c r="F26" s="47">
        <f t="shared" si="4"/>
        <v>0</v>
      </c>
      <c r="G26" s="21">
        <f t="shared" si="0"/>
        <v>201.42094742831455</v>
      </c>
      <c r="H26" s="150">
        <f>'Schedule 4 Adjustments'!N25</f>
        <v>721</v>
      </c>
      <c r="I26" s="409">
        <v>1.92</v>
      </c>
      <c r="J26" s="47">
        <f t="shared" si="3"/>
        <v>1384.32</v>
      </c>
      <c r="K26" s="21">
        <f t="shared" si="2"/>
        <v>179.04084215850182</v>
      </c>
    </row>
    <row r="27" spans="1:11" s="22" customFormat="1" x14ac:dyDescent="0.35">
      <c r="A27" s="19">
        <v>14</v>
      </c>
      <c r="B27" s="19">
        <v>90834</v>
      </c>
      <c r="C27" s="20" t="s">
        <v>323</v>
      </c>
      <c r="D27" s="116">
        <f>'Schedule 4 Adjustments'!F26</f>
        <v>819</v>
      </c>
      <c r="E27" s="409">
        <v>3.1</v>
      </c>
      <c r="F27" s="47">
        <f t="shared" si="4"/>
        <v>2538.9</v>
      </c>
      <c r="G27" s="21">
        <f t="shared" si="0"/>
        <v>289.07635973508104</v>
      </c>
      <c r="H27" s="150">
        <f>'Schedule 4 Adjustments'!N26</f>
        <v>18573</v>
      </c>
      <c r="I27" s="409">
        <v>2.71</v>
      </c>
      <c r="J27" s="47">
        <f t="shared" si="3"/>
        <v>50332.83</v>
      </c>
      <c r="K27" s="21">
        <f t="shared" si="2"/>
        <v>252.70868867163537</v>
      </c>
    </row>
    <row r="28" spans="1:11" s="22" customFormat="1" x14ac:dyDescent="0.35">
      <c r="A28" s="19">
        <v>15</v>
      </c>
      <c r="B28" s="19">
        <v>90836</v>
      </c>
      <c r="C28" s="20" t="s">
        <v>326</v>
      </c>
      <c r="D28" s="116">
        <f>'Schedule 4 Adjustments'!F27</f>
        <v>0</v>
      </c>
      <c r="E28" s="409">
        <v>2.73</v>
      </c>
      <c r="F28" s="47">
        <f t="shared" si="4"/>
        <v>0</v>
      </c>
      <c r="G28" s="21">
        <f t="shared" si="0"/>
        <v>254.57369744411977</v>
      </c>
      <c r="H28" s="150">
        <f>'Schedule 4 Adjustments'!N27</f>
        <v>0</v>
      </c>
      <c r="I28" s="409">
        <v>2.4300000000000002</v>
      </c>
      <c r="J28" s="47">
        <f t="shared" si="3"/>
        <v>0</v>
      </c>
      <c r="K28" s="21">
        <f t="shared" si="2"/>
        <v>226.59856585685387</v>
      </c>
    </row>
    <row r="29" spans="1:11" s="22" customFormat="1" x14ac:dyDescent="0.35">
      <c r="A29" s="19">
        <v>16</v>
      </c>
      <c r="B29" s="19">
        <v>90837</v>
      </c>
      <c r="C29" s="20" t="s">
        <v>324</v>
      </c>
      <c r="D29" s="116">
        <f>'Schedule 4 Adjustments'!F28</f>
        <v>738</v>
      </c>
      <c r="E29" s="409">
        <v>4.57</v>
      </c>
      <c r="F29" s="47">
        <f t="shared" si="4"/>
        <v>3372.6600000000003</v>
      </c>
      <c r="G29" s="21">
        <f t="shared" si="0"/>
        <v>426.15450451268407</v>
      </c>
      <c r="H29" s="150">
        <f>'Schedule 4 Adjustments'!N28</f>
        <v>17406</v>
      </c>
      <c r="I29" s="409">
        <v>4</v>
      </c>
      <c r="J29" s="47">
        <f t="shared" si="3"/>
        <v>69624</v>
      </c>
      <c r="K29" s="21">
        <f t="shared" si="2"/>
        <v>373.00175449687879</v>
      </c>
    </row>
    <row r="30" spans="1:11" s="22" customFormat="1" x14ac:dyDescent="0.35">
      <c r="A30" s="19">
        <v>17</v>
      </c>
      <c r="B30" s="19">
        <v>90838</v>
      </c>
      <c r="C30" s="20" t="s">
        <v>327</v>
      </c>
      <c r="D30" s="116">
        <f>'Schedule 4 Adjustments'!F29</f>
        <v>0</v>
      </c>
      <c r="E30" s="409">
        <v>3.62</v>
      </c>
      <c r="F30" s="47">
        <f t="shared" si="4"/>
        <v>0</v>
      </c>
      <c r="G30" s="21">
        <f t="shared" si="0"/>
        <v>337.56658781967531</v>
      </c>
      <c r="H30" s="150">
        <f>'Schedule 4 Adjustments'!N29</f>
        <v>0</v>
      </c>
      <c r="I30" s="409">
        <v>3.22</v>
      </c>
      <c r="J30" s="47">
        <f t="shared" si="3"/>
        <v>0</v>
      </c>
      <c r="K30" s="21">
        <f t="shared" si="2"/>
        <v>300.26641236998745</v>
      </c>
    </row>
    <row r="31" spans="1:11" s="22" customFormat="1" x14ac:dyDescent="0.35">
      <c r="A31" s="19">
        <v>18</v>
      </c>
      <c r="B31" s="19">
        <v>90839</v>
      </c>
      <c r="C31" s="20" t="s">
        <v>329</v>
      </c>
      <c r="D31" s="116">
        <f>'Schedule 4 Adjustments'!F30</f>
        <v>4</v>
      </c>
      <c r="E31" s="409">
        <v>4.4000000000000004</v>
      </c>
      <c r="F31" s="47">
        <f t="shared" si="4"/>
        <v>17.600000000000001</v>
      </c>
      <c r="G31" s="21">
        <f t="shared" si="0"/>
        <v>410.3019299465667</v>
      </c>
      <c r="H31" s="150">
        <f>'Schedule 4 Adjustments'!N30</f>
        <v>58</v>
      </c>
      <c r="I31" s="409">
        <v>3.87</v>
      </c>
      <c r="J31" s="47">
        <f t="shared" si="3"/>
        <v>224.46</v>
      </c>
      <c r="K31" s="21">
        <f t="shared" si="2"/>
        <v>360.87919747573022</v>
      </c>
    </row>
    <row r="32" spans="1:11" s="22" customFormat="1" x14ac:dyDescent="0.35">
      <c r="A32" s="19">
        <v>19</v>
      </c>
      <c r="B32" s="19">
        <v>90840</v>
      </c>
      <c r="C32" s="20" t="s">
        <v>328</v>
      </c>
      <c r="D32" s="116">
        <f>'Schedule 4 Adjustments'!F31</f>
        <v>0</v>
      </c>
      <c r="E32" s="409">
        <v>2.1800000000000002</v>
      </c>
      <c r="F32" s="47">
        <f t="shared" si="4"/>
        <v>0</v>
      </c>
      <c r="G32" s="21">
        <f t="shared" si="0"/>
        <v>203.28595620079895</v>
      </c>
      <c r="H32" s="150">
        <f>'Schedule 4 Adjustments'!N31</f>
        <v>0</v>
      </c>
      <c r="I32" s="409">
        <v>1.94</v>
      </c>
      <c r="J32" s="47">
        <f t="shared" si="3"/>
        <v>0</v>
      </c>
      <c r="K32" s="21">
        <f t="shared" si="2"/>
        <v>180.90585093098622</v>
      </c>
    </row>
    <row r="33" spans="1:11" s="22" customFormat="1" x14ac:dyDescent="0.35">
      <c r="A33" s="19">
        <v>20</v>
      </c>
      <c r="B33" s="19">
        <v>90846</v>
      </c>
      <c r="C33" s="20" t="s">
        <v>113</v>
      </c>
      <c r="D33" s="116">
        <f>'Schedule 4 Adjustments'!F32</f>
        <v>4</v>
      </c>
      <c r="E33" s="409">
        <v>2.93</v>
      </c>
      <c r="F33" s="47">
        <f t="shared" si="4"/>
        <v>11.72</v>
      </c>
      <c r="G33" s="21">
        <f t="shared" si="0"/>
        <v>273.22378516896373</v>
      </c>
      <c r="H33" s="150">
        <f>'Schedule 4 Adjustments'!N32</f>
        <v>495</v>
      </c>
      <c r="I33" s="409">
        <v>2.92</v>
      </c>
      <c r="J33" s="47">
        <f t="shared" si="3"/>
        <v>1445.3999999999999</v>
      </c>
      <c r="K33" s="21">
        <f t="shared" si="2"/>
        <v>272.29128078272151</v>
      </c>
    </row>
    <row r="34" spans="1:11" s="22" customFormat="1" x14ac:dyDescent="0.35">
      <c r="A34" s="19">
        <v>21</v>
      </c>
      <c r="B34" s="19">
        <v>90847</v>
      </c>
      <c r="C34" s="20" t="s">
        <v>114</v>
      </c>
      <c r="D34" s="116">
        <f>'Schedule 4 Adjustments'!F33</f>
        <v>7</v>
      </c>
      <c r="E34" s="409">
        <v>3.07</v>
      </c>
      <c r="F34" s="47">
        <f t="shared" si="4"/>
        <v>21.49</v>
      </c>
      <c r="G34" s="21">
        <f t="shared" si="0"/>
        <v>286.27884657635445</v>
      </c>
      <c r="H34" s="150">
        <f>'Schedule 4 Adjustments'!N33</f>
        <v>767</v>
      </c>
      <c r="I34" s="409">
        <v>3.05</v>
      </c>
      <c r="J34" s="47">
        <f t="shared" si="3"/>
        <v>2339.35</v>
      </c>
      <c r="K34" s="21">
        <f t="shared" si="2"/>
        <v>284.41383780387008</v>
      </c>
    </row>
    <row r="35" spans="1:11" s="22" customFormat="1" x14ac:dyDescent="0.35">
      <c r="A35" s="19">
        <v>22</v>
      </c>
      <c r="B35" s="19">
        <v>90849</v>
      </c>
      <c r="C35" s="20" t="s">
        <v>115</v>
      </c>
      <c r="D35" s="116">
        <f>'Schedule 4 Adjustments'!F34</f>
        <v>0</v>
      </c>
      <c r="E35" s="409">
        <v>1.1299999999999999</v>
      </c>
      <c r="F35" s="47">
        <f t="shared" si="4"/>
        <v>0</v>
      </c>
      <c r="G35" s="21">
        <f t="shared" si="0"/>
        <v>105.37299564536825</v>
      </c>
      <c r="H35" s="150">
        <f>'Schedule 4 Adjustments'!N34</f>
        <v>12</v>
      </c>
      <c r="I35" s="409">
        <v>0.88</v>
      </c>
      <c r="J35" s="47">
        <f t="shared" si="3"/>
        <v>10.56</v>
      </c>
      <c r="K35" s="21">
        <f t="shared" si="2"/>
        <v>82.060385989313332</v>
      </c>
    </row>
    <row r="36" spans="1:11" s="22" customFormat="1" x14ac:dyDescent="0.35">
      <c r="A36" s="19">
        <v>23</v>
      </c>
      <c r="B36" s="19">
        <v>90853</v>
      </c>
      <c r="C36" s="20" t="s">
        <v>116</v>
      </c>
      <c r="D36" s="116">
        <f>'Schedule 4 Adjustments'!F35</f>
        <v>0</v>
      </c>
      <c r="E36" s="409">
        <v>0.83</v>
      </c>
      <c r="F36" s="47">
        <f t="shared" si="4"/>
        <v>0</v>
      </c>
      <c r="G36" s="21">
        <f t="shared" si="0"/>
        <v>77.397864058102343</v>
      </c>
      <c r="H36" s="150">
        <f>'Schedule 4 Adjustments'!N35</f>
        <v>3392</v>
      </c>
      <c r="I36" s="409">
        <v>0.72</v>
      </c>
      <c r="J36" s="47">
        <f t="shared" si="3"/>
        <v>2442.2399999999998</v>
      </c>
      <c r="K36" s="21">
        <f t="shared" si="2"/>
        <v>67.140315809438178</v>
      </c>
    </row>
    <row r="37" spans="1:11" s="22" customFormat="1" x14ac:dyDescent="0.35">
      <c r="A37" s="19">
        <v>24</v>
      </c>
      <c r="B37" s="19">
        <v>90870</v>
      </c>
      <c r="C37" s="20" t="s">
        <v>117</v>
      </c>
      <c r="D37" s="116">
        <f>'Schedule 4 Adjustments'!F36</f>
        <v>0</v>
      </c>
      <c r="E37" s="409">
        <v>5.18</v>
      </c>
      <c r="F37" s="47">
        <f t="shared" si="4"/>
        <v>0</v>
      </c>
      <c r="G37" s="21">
        <f t="shared" si="0"/>
        <v>483.03727207345798</v>
      </c>
      <c r="H37" s="150">
        <f>'Schedule 4 Adjustments'!N36</f>
        <v>0</v>
      </c>
      <c r="I37" s="409">
        <v>3.12</v>
      </c>
      <c r="J37" s="47">
        <f t="shared" si="3"/>
        <v>0</v>
      </c>
      <c r="K37" s="21">
        <f t="shared" si="2"/>
        <v>290.94136850756547</v>
      </c>
    </row>
    <row r="38" spans="1:11" s="22" customFormat="1" x14ac:dyDescent="0.35">
      <c r="A38" s="19">
        <v>25</v>
      </c>
      <c r="B38" s="19">
        <v>90875</v>
      </c>
      <c r="C38" s="20" t="s">
        <v>152</v>
      </c>
      <c r="D38" s="116">
        <f>'Schedule 4 Adjustments'!F37</f>
        <v>0</v>
      </c>
      <c r="E38" s="409">
        <v>1.75</v>
      </c>
      <c r="F38" s="47">
        <f t="shared" si="4"/>
        <v>0</v>
      </c>
      <c r="G38" s="21">
        <f t="shared" si="0"/>
        <v>163.18826759238448</v>
      </c>
      <c r="H38" s="150">
        <f>'Schedule 4 Adjustments'!N37</f>
        <v>0</v>
      </c>
      <c r="I38" s="409">
        <v>1.74</v>
      </c>
      <c r="J38" s="47">
        <f t="shared" si="3"/>
        <v>0</v>
      </c>
      <c r="K38" s="21">
        <f t="shared" si="2"/>
        <v>162.25576320614226</v>
      </c>
    </row>
    <row r="39" spans="1:11" s="22" customFormat="1" x14ac:dyDescent="0.35">
      <c r="A39" s="19">
        <v>26</v>
      </c>
      <c r="B39" s="19">
        <v>90876</v>
      </c>
      <c r="C39" s="20" t="s">
        <v>153</v>
      </c>
      <c r="D39" s="116">
        <f>'Schedule 4 Adjustments'!F38</f>
        <v>0</v>
      </c>
      <c r="E39" s="409">
        <v>3.08</v>
      </c>
      <c r="F39" s="47">
        <f t="shared" si="4"/>
        <v>0</v>
      </c>
      <c r="G39" s="21">
        <f t="shared" si="0"/>
        <v>287.21135096259667</v>
      </c>
      <c r="H39" s="150">
        <f>'Schedule 4 Adjustments'!N38</f>
        <v>0</v>
      </c>
      <c r="I39" s="409">
        <v>2.76</v>
      </c>
      <c r="J39" s="47">
        <f t="shared" si="3"/>
        <v>0</v>
      </c>
      <c r="K39" s="21">
        <f t="shared" si="2"/>
        <v>257.37121060284636</v>
      </c>
    </row>
    <row r="40" spans="1:11" s="22" customFormat="1" x14ac:dyDescent="0.35">
      <c r="A40" s="19">
        <v>27</v>
      </c>
      <c r="B40" s="19">
        <v>90887</v>
      </c>
      <c r="C40" s="20" t="s">
        <v>330</v>
      </c>
      <c r="D40" s="116">
        <f>'Schedule 4 Adjustments'!F39</f>
        <v>0</v>
      </c>
      <c r="E40" s="409">
        <v>2.56</v>
      </c>
      <c r="F40" s="47">
        <f t="shared" si="4"/>
        <v>0</v>
      </c>
      <c r="G40" s="21">
        <f t="shared" si="0"/>
        <v>238.72112287800243</v>
      </c>
      <c r="H40" s="150">
        <f>'Schedule 4 Adjustments'!N39</f>
        <v>21</v>
      </c>
      <c r="I40" s="409">
        <v>2.14</v>
      </c>
      <c r="J40" s="47">
        <f t="shared" si="3"/>
        <v>44.940000000000005</v>
      </c>
      <c r="K40" s="21">
        <f t="shared" si="2"/>
        <v>199.55593865583018</v>
      </c>
    </row>
    <row r="41" spans="1:11" s="22" customFormat="1" x14ac:dyDescent="0.35">
      <c r="A41" s="19">
        <v>28</v>
      </c>
      <c r="B41" s="19">
        <v>96116</v>
      </c>
      <c r="C41" s="20" t="s">
        <v>341</v>
      </c>
      <c r="D41" s="116">
        <f>'Schedule 4 Adjustments'!F40</f>
        <v>0</v>
      </c>
      <c r="E41" s="409">
        <v>2.76</v>
      </c>
      <c r="F41" s="47">
        <f t="shared" si="4"/>
        <v>0</v>
      </c>
      <c r="G41" s="21">
        <f t="shared" si="0"/>
        <v>257.37121060284636</v>
      </c>
      <c r="H41" s="150">
        <f>'Schedule 4 Adjustments'!N40</f>
        <v>0</v>
      </c>
      <c r="I41" s="409">
        <v>2.37</v>
      </c>
      <c r="J41" s="47">
        <f t="shared" si="3"/>
        <v>0</v>
      </c>
      <c r="K41" s="21">
        <f t="shared" si="2"/>
        <v>221.00353953940069</v>
      </c>
    </row>
    <row r="42" spans="1:11" s="22" customFormat="1" x14ac:dyDescent="0.35">
      <c r="A42" s="19">
        <v>29</v>
      </c>
      <c r="B42" s="19">
        <v>96121</v>
      </c>
      <c r="C42" s="20" t="s">
        <v>340</v>
      </c>
      <c r="D42" s="116">
        <f>'Schedule 4 Adjustments'!F41</f>
        <v>0</v>
      </c>
      <c r="E42" s="409">
        <v>2.25</v>
      </c>
      <c r="F42" s="47">
        <f t="shared" si="4"/>
        <v>0</v>
      </c>
      <c r="G42" s="21">
        <f t="shared" si="0"/>
        <v>209.81348690449431</v>
      </c>
      <c r="H42" s="150">
        <f>'Schedule 4 Adjustments'!N41</f>
        <v>0</v>
      </c>
      <c r="I42" s="409">
        <v>1.97</v>
      </c>
      <c r="J42" s="47">
        <f t="shared" si="3"/>
        <v>0</v>
      </c>
      <c r="K42" s="21">
        <f t="shared" si="2"/>
        <v>183.70336408971281</v>
      </c>
    </row>
    <row r="43" spans="1:11" s="22" customFormat="1" x14ac:dyDescent="0.35">
      <c r="A43" s="19">
        <v>30</v>
      </c>
      <c r="B43" s="19">
        <v>96130</v>
      </c>
      <c r="C43" s="20" t="s">
        <v>338</v>
      </c>
      <c r="D43" s="116">
        <f>'Schedule 4 Adjustments'!F42</f>
        <v>0</v>
      </c>
      <c r="E43" s="409">
        <v>3.6</v>
      </c>
      <c r="F43" s="47">
        <f t="shared" si="4"/>
        <v>0</v>
      </c>
      <c r="G43" s="21">
        <f t="shared" si="0"/>
        <v>335.70157904719093</v>
      </c>
      <c r="H43" s="150">
        <f>'Schedule 4 Adjustments'!N42</f>
        <v>55</v>
      </c>
      <c r="I43" s="409">
        <v>3.25</v>
      </c>
      <c r="J43" s="47">
        <f t="shared" si="3"/>
        <v>178.75</v>
      </c>
      <c r="K43" s="21">
        <f t="shared" si="2"/>
        <v>303.06392552871404</v>
      </c>
    </row>
    <row r="44" spans="1:11" s="22" customFormat="1" x14ac:dyDescent="0.35">
      <c r="A44" s="19">
        <v>31</v>
      </c>
      <c r="B44" s="19">
        <v>96131</v>
      </c>
      <c r="C44" s="20" t="s">
        <v>339</v>
      </c>
      <c r="D44" s="116">
        <f>'Schedule 4 Adjustments'!F43</f>
        <v>0</v>
      </c>
      <c r="E44" s="409">
        <v>2.57</v>
      </c>
      <c r="F44" s="47">
        <f t="shared" si="4"/>
        <v>0</v>
      </c>
      <c r="G44" s="21">
        <f t="shared" si="0"/>
        <v>239.65362726424462</v>
      </c>
      <c r="H44" s="150">
        <f>'Schedule 4 Adjustments'!N43</f>
        <v>272</v>
      </c>
      <c r="I44" s="409">
        <v>2.25</v>
      </c>
      <c r="J44" s="47">
        <f t="shared" si="3"/>
        <v>612</v>
      </c>
      <c r="K44" s="21">
        <f t="shared" si="2"/>
        <v>209.81348690449431</v>
      </c>
    </row>
    <row r="45" spans="1:11" s="22" customFormat="1" x14ac:dyDescent="0.35">
      <c r="A45" s="19">
        <v>32</v>
      </c>
      <c r="B45" s="19">
        <v>96132</v>
      </c>
      <c r="C45" s="20" t="s">
        <v>332</v>
      </c>
      <c r="D45" s="116">
        <f>'Schedule 4 Adjustments'!F44</f>
        <v>0</v>
      </c>
      <c r="E45" s="409">
        <v>3.85</v>
      </c>
      <c r="F45" s="47">
        <f t="shared" si="4"/>
        <v>0</v>
      </c>
      <c r="G45" s="21">
        <f t="shared" si="0"/>
        <v>359.01418870324585</v>
      </c>
      <c r="H45" s="150">
        <f>'Schedule 4 Adjustments'!N44</f>
        <v>0</v>
      </c>
      <c r="I45" s="409">
        <v>3.14</v>
      </c>
      <c r="J45" s="47">
        <f t="shared" si="3"/>
        <v>0</v>
      </c>
      <c r="K45" s="21">
        <f t="shared" si="2"/>
        <v>292.80637728004984</v>
      </c>
    </row>
    <row r="46" spans="1:11" s="22" customFormat="1" x14ac:dyDescent="0.35">
      <c r="A46" s="19">
        <v>33</v>
      </c>
      <c r="B46" s="19">
        <v>96133</v>
      </c>
      <c r="C46" s="20" t="s">
        <v>333</v>
      </c>
      <c r="D46" s="116">
        <f>'Schedule 4 Adjustments'!F45</f>
        <v>0</v>
      </c>
      <c r="E46" s="409">
        <v>2.92</v>
      </c>
      <c r="F46" s="47">
        <f t="shared" si="4"/>
        <v>0</v>
      </c>
      <c r="G46" s="21">
        <f t="shared" si="0"/>
        <v>272.29128078272151</v>
      </c>
      <c r="H46" s="150">
        <f>'Schedule 4 Adjustments'!N45</f>
        <v>0</v>
      </c>
      <c r="I46" s="409">
        <v>2.2599999999999998</v>
      </c>
      <c r="J46" s="47">
        <f t="shared" si="3"/>
        <v>0</v>
      </c>
      <c r="K46" s="21">
        <f t="shared" si="2"/>
        <v>210.7459912907365</v>
      </c>
    </row>
    <row r="47" spans="1:11" s="22" customFormat="1" x14ac:dyDescent="0.35">
      <c r="A47" s="19">
        <v>34</v>
      </c>
      <c r="B47" s="19">
        <v>96136</v>
      </c>
      <c r="C47" s="20" t="s">
        <v>334</v>
      </c>
      <c r="D47" s="116">
        <f>'Schedule 4 Adjustments'!F46</f>
        <v>0</v>
      </c>
      <c r="E47" s="409">
        <v>1.25</v>
      </c>
      <c r="F47" s="47">
        <f t="shared" si="4"/>
        <v>0</v>
      </c>
      <c r="G47" s="21">
        <f t="shared" si="0"/>
        <v>116.56304828027461</v>
      </c>
      <c r="H47" s="150">
        <f>'Schedule 4 Adjustments'!N46</f>
        <v>50</v>
      </c>
      <c r="I47" s="409">
        <v>0.69</v>
      </c>
      <c r="J47" s="47">
        <f t="shared" si="3"/>
        <v>34.5</v>
      </c>
      <c r="K47" s="21">
        <f t="shared" si="2"/>
        <v>64.34280265071159</v>
      </c>
    </row>
    <row r="48" spans="1:11" s="22" customFormat="1" x14ac:dyDescent="0.35">
      <c r="A48" s="19">
        <v>35</v>
      </c>
      <c r="B48" s="19">
        <v>96137</v>
      </c>
      <c r="C48" s="20" t="s">
        <v>335</v>
      </c>
      <c r="D48" s="116">
        <f>'Schedule 4 Adjustments'!F47</f>
        <v>0</v>
      </c>
      <c r="E48" s="409">
        <v>1.1299999999999999</v>
      </c>
      <c r="F48" s="47">
        <f t="shared" si="4"/>
        <v>0</v>
      </c>
      <c r="G48" s="21">
        <f t="shared" si="0"/>
        <v>105.37299564536825</v>
      </c>
      <c r="H48" s="150">
        <f>'Schedule 4 Adjustments'!N47</f>
        <v>477</v>
      </c>
      <c r="I48" s="409">
        <v>0.53</v>
      </c>
      <c r="J48" s="47">
        <f t="shared" si="3"/>
        <v>252.81</v>
      </c>
      <c r="K48" s="21">
        <f t="shared" si="2"/>
        <v>49.422732470836443</v>
      </c>
    </row>
    <row r="49" spans="1:11" s="22" customFormat="1" x14ac:dyDescent="0.35">
      <c r="A49" s="19">
        <v>36</v>
      </c>
      <c r="B49" s="19">
        <v>96138</v>
      </c>
      <c r="C49" s="20" t="s">
        <v>336</v>
      </c>
      <c r="D49" s="116">
        <f>'Schedule 4 Adjustments'!F48</f>
        <v>0</v>
      </c>
      <c r="E49" s="409">
        <v>1.03</v>
      </c>
      <c r="F49" s="47">
        <f t="shared" si="4"/>
        <v>0</v>
      </c>
      <c r="G49" s="21">
        <f t="shared" si="0"/>
        <v>96.047951782946285</v>
      </c>
      <c r="H49" s="150">
        <f>'Schedule 4 Adjustments'!N48</f>
        <v>0</v>
      </c>
      <c r="I49" s="409">
        <v>0.56999999999999995</v>
      </c>
      <c r="J49" s="47">
        <f t="shared" si="3"/>
        <v>0</v>
      </c>
      <c r="K49" s="21">
        <f t="shared" si="2"/>
        <v>53.152750015805225</v>
      </c>
    </row>
    <row r="50" spans="1:11" s="22" customFormat="1" x14ac:dyDescent="0.35">
      <c r="A50" s="19">
        <v>37</v>
      </c>
      <c r="B50" s="19">
        <v>96139</v>
      </c>
      <c r="C50" s="20" t="s">
        <v>337</v>
      </c>
      <c r="D50" s="116">
        <f>'Schedule 4 Adjustments'!F49</f>
        <v>0</v>
      </c>
      <c r="E50" s="409">
        <v>1.06</v>
      </c>
      <c r="F50" s="47">
        <f t="shared" si="4"/>
        <v>0</v>
      </c>
      <c r="G50" s="21">
        <f t="shared" si="0"/>
        <v>98.845464941672887</v>
      </c>
      <c r="H50" s="150">
        <f>'Schedule 4 Adjustments'!N49</f>
        <v>0</v>
      </c>
      <c r="I50" s="409">
        <v>0.5</v>
      </c>
      <c r="J50" s="47">
        <f t="shared" si="3"/>
        <v>0</v>
      </c>
      <c r="K50" s="21">
        <f t="shared" si="2"/>
        <v>46.625219312109849</v>
      </c>
    </row>
    <row r="51" spans="1:11" s="22" customFormat="1" x14ac:dyDescent="0.35">
      <c r="A51" s="19">
        <v>38</v>
      </c>
      <c r="B51" s="19">
        <v>96146</v>
      </c>
      <c r="C51" s="20" t="s">
        <v>331</v>
      </c>
      <c r="D51" s="116">
        <f>'Schedule 4 Adjustments'!F50</f>
        <v>0</v>
      </c>
      <c r="E51" s="409">
        <v>7.0000000000000007E-2</v>
      </c>
      <c r="F51" s="47">
        <f t="shared" si="4"/>
        <v>0</v>
      </c>
      <c r="G51" s="21">
        <f t="shared" si="0"/>
        <v>6.5275307036953798</v>
      </c>
      <c r="H51" s="150">
        <f>'Schedule 4 Adjustments'!N50</f>
        <v>0</v>
      </c>
      <c r="I51" s="409">
        <v>7.0000000000000007E-2</v>
      </c>
      <c r="J51" s="47">
        <f t="shared" si="3"/>
        <v>0</v>
      </c>
      <c r="K51" s="21">
        <f t="shared" si="2"/>
        <v>6.5275307036953798</v>
      </c>
    </row>
    <row r="52" spans="1:11" s="22" customFormat="1" x14ac:dyDescent="0.35">
      <c r="A52" s="19">
        <v>39</v>
      </c>
      <c r="B52" s="19">
        <v>96372</v>
      </c>
      <c r="C52" s="20" t="s">
        <v>118</v>
      </c>
      <c r="D52" s="116">
        <f>'Schedule 4 Adjustments'!F51</f>
        <v>157</v>
      </c>
      <c r="E52" s="409">
        <v>0.43</v>
      </c>
      <c r="F52" s="47">
        <f t="shared" si="4"/>
        <v>67.510000000000005</v>
      </c>
      <c r="G52" s="21">
        <f t="shared" si="0"/>
        <v>40.097688608414472</v>
      </c>
      <c r="H52" s="150">
        <f>'Schedule 4 Adjustments'!N51</f>
        <v>2341</v>
      </c>
      <c r="I52" s="409">
        <v>0.43</v>
      </c>
      <c r="J52" s="47">
        <f t="shared" si="3"/>
        <v>1006.63</v>
      </c>
      <c r="K52" s="21">
        <f t="shared" si="2"/>
        <v>40.097688608414472</v>
      </c>
    </row>
    <row r="53" spans="1:11" s="22" customFormat="1" x14ac:dyDescent="0.35">
      <c r="A53" s="19">
        <v>40</v>
      </c>
      <c r="B53" s="19">
        <v>97535</v>
      </c>
      <c r="C53" s="20" t="s">
        <v>119</v>
      </c>
      <c r="D53" s="116">
        <f>'Schedule 4 Adjustments'!F52</f>
        <v>0</v>
      </c>
      <c r="E53" s="409">
        <v>0.98</v>
      </c>
      <c r="F53" s="47">
        <f t="shared" si="4"/>
        <v>0</v>
      </c>
      <c r="G53" s="21">
        <f t="shared" si="0"/>
        <v>91.385429851735296</v>
      </c>
      <c r="H53" s="150">
        <f>'Schedule 4 Adjustments'!N52</f>
        <v>0</v>
      </c>
      <c r="I53" s="409">
        <v>0.98</v>
      </c>
      <c r="J53" s="47">
        <f t="shared" si="3"/>
        <v>0</v>
      </c>
      <c r="K53" s="21">
        <f t="shared" si="2"/>
        <v>91.385429851735296</v>
      </c>
    </row>
    <row r="54" spans="1:11" s="22" customFormat="1" x14ac:dyDescent="0.35">
      <c r="A54" s="19">
        <v>41</v>
      </c>
      <c r="B54" s="19">
        <v>97537</v>
      </c>
      <c r="C54" s="20" t="s">
        <v>120</v>
      </c>
      <c r="D54" s="116">
        <f>'Schedule 4 Adjustments'!F53</f>
        <v>0</v>
      </c>
      <c r="E54" s="409">
        <v>0.95</v>
      </c>
      <c r="F54" s="47">
        <f t="shared" si="4"/>
        <v>0</v>
      </c>
      <c r="G54" s="21">
        <f t="shared" si="0"/>
        <v>88.587916693008708</v>
      </c>
      <c r="H54" s="150">
        <f>'Schedule 4 Adjustments'!N53</f>
        <v>448</v>
      </c>
      <c r="I54" s="409">
        <v>0.95</v>
      </c>
      <c r="J54" s="47">
        <f t="shared" si="3"/>
        <v>425.59999999999997</v>
      </c>
      <c r="K54" s="21">
        <f t="shared" si="2"/>
        <v>88.587916693008708</v>
      </c>
    </row>
    <row r="55" spans="1:11" s="22" customFormat="1" x14ac:dyDescent="0.35">
      <c r="A55" s="19">
        <v>42</v>
      </c>
      <c r="B55" s="19">
        <v>98966</v>
      </c>
      <c r="C55" s="20" t="s">
        <v>342</v>
      </c>
      <c r="D55" s="116">
        <f>'Schedule 4 Adjustments'!F54</f>
        <v>0</v>
      </c>
      <c r="E55" s="409">
        <v>0.39</v>
      </c>
      <c r="F55" s="47">
        <f t="shared" si="4"/>
        <v>0</v>
      </c>
      <c r="G55" s="21">
        <f t="shared" si="0"/>
        <v>36.367671063445684</v>
      </c>
      <c r="H55" s="150">
        <f>'Schedule 4 Adjustments'!N54</f>
        <v>0</v>
      </c>
      <c r="I55" s="409">
        <v>0.34</v>
      </c>
      <c r="J55" s="47">
        <f t="shared" si="3"/>
        <v>0</v>
      </c>
      <c r="K55" s="21">
        <f t="shared" si="2"/>
        <v>31.705149132234698</v>
      </c>
    </row>
    <row r="56" spans="1:11" s="22" customFormat="1" x14ac:dyDescent="0.35">
      <c r="A56" s="19">
        <v>43</v>
      </c>
      <c r="B56" s="19">
        <v>98967</v>
      </c>
      <c r="C56" s="20" t="s">
        <v>343</v>
      </c>
      <c r="D56" s="116">
        <f>'Schedule 4 Adjustments'!F55</f>
        <v>0</v>
      </c>
      <c r="E56" s="409">
        <v>0.72</v>
      </c>
      <c r="F56" s="47">
        <f t="shared" si="4"/>
        <v>0</v>
      </c>
      <c r="G56" s="21">
        <f t="shared" si="0"/>
        <v>67.140315809438178</v>
      </c>
      <c r="H56" s="150">
        <f>'Schedule 4 Adjustments'!N55</f>
        <v>0</v>
      </c>
      <c r="I56" s="409">
        <v>0.66</v>
      </c>
      <c r="J56" s="47">
        <f t="shared" si="3"/>
        <v>0</v>
      </c>
      <c r="K56" s="21">
        <f t="shared" si="2"/>
        <v>61.545289491985002</v>
      </c>
    </row>
    <row r="57" spans="1:11" s="22" customFormat="1" x14ac:dyDescent="0.35">
      <c r="A57" s="19">
        <v>44</v>
      </c>
      <c r="B57" s="19">
        <v>98968</v>
      </c>
      <c r="C57" s="20" t="s">
        <v>344</v>
      </c>
      <c r="D57" s="116">
        <f>'Schedule 4 Adjustments'!F56</f>
        <v>0</v>
      </c>
      <c r="E57" s="409">
        <v>0.99</v>
      </c>
      <c r="F57" s="47">
        <f t="shared" si="4"/>
        <v>0</v>
      </c>
      <c r="G57" s="21">
        <f t="shared" si="0"/>
        <v>92.317934237977497</v>
      </c>
      <c r="H57" s="150">
        <f>'Schedule 4 Adjustments'!N56</f>
        <v>0</v>
      </c>
      <c r="I57" s="409">
        <v>0.92</v>
      </c>
      <c r="J57" s="47">
        <f t="shared" si="3"/>
        <v>0</v>
      </c>
      <c r="K57" s="21">
        <f t="shared" si="2"/>
        <v>85.79040353428212</v>
      </c>
    </row>
    <row r="58" spans="1:11" s="22" customFormat="1" x14ac:dyDescent="0.35">
      <c r="A58" s="19">
        <v>45</v>
      </c>
      <c r="B58" s="19">
        <v>99202</v>
      </c>
      <c r="C58" s="20" t="s">
        <v>154</v>
      </c>
      <c r="D58" s="116">
        <f>'Schedule 4 Adjustments'!F57</f>
        <v>0</v>
      </c>
      <c r="E58" s="409">
        <v>2.17</v>
      </c>
      <c r="F58" s="47">
        <f t="shared" si="4"/>
        <v>0</v>
      </c>
      <c r="G58" s="21">
        <f t="shared" si="0"/>
        <v>202.35345181455673</v>
      </c>
      <c r="H58" s="150">
        <f>'Schedule 4 Adjustments'!N57</f>
        <v>0</v>
      </c>
      <c r="I58" s="409">
        <v>1.41</v>
      </c>
      <c r="J58" s="47">
        <f t="shared" si="3"/>
        <v>0</v>
      </c>
      <c r="K58" s="21">
        <f t="shared" si="2"/>
        <v>131.48311846014977</v>
      </c>
    </row>
    <row r="59" spans="1:11" s="22" customFormat="1" x14ac:dyDescent="0.35">
      <c r="A59" s="19">
        <v>46</v>
      </c>
      <c r="B59" s="19">
        <v>99203</v>
      </c>
      <c r="C59" s="20" t="s">
        <v>154</v>
      </c>
      <c r="D59" s="116">
        <f>'Schedule 4 Adjustments'!F58</f>
        <v>0</v>
      </c>
      <c r="E59" s="409">
        <v>3.35</v>
      </c>
      <c r="F59" s="47">
        <f t="shared" si="4"/>
        <v>0</v>
      </c>
      <c r="G59" s="21">
        <f t="shared" si="0"/>
        <v>312.38896939113602</v>
      </c>
      <c r="H59" s="150">
        <f>'Schedule 4 Adjustments'!N58</f>
        <v>0</v>
      </c>
      <c r="I59" s="409">
        <v>2.44</v>
      </c>
      <c r="J59" s="47">
        <f t="shared" si="3"/>
        <v>0</v>
      </c>
      <c r="K59" s="21">
        <f t="shared" si="2"/>
        <v>227.53107024309605</v>
      </c>
    </row>
    <row r="60" spans="1:11" s="22" customFormat="1" x14ac:dyDescent="0.35">
      <c r="A60" s="19">
        <v>47</v>
      </c>
      <c r="B60" s="19">
        <v>99204</v>
      </c>
      <c r="C60" s="20" t="s">
        <v>154</v>
      </c>
      <c r="D60" s="116">
        <f>'Schedule 4 Adjustments'!F59</f>
        <v>0</v>
      </c>
      <c r="E60" s="409">
        <v>5.0199999999999996</v>
      </c>
      <c r="F60" s="47">
        <f t="shared" si="4"/>
        <v>0</v>
      </c>
      <c r="G60" s="21">
        <f t="shared" si="0"/>
        <v>468.11720189358283</v>
      </c>
      <c r="H60" s="150">
        <f>'Schedule 4 Adjustments'!N59</f>
        <v>0</v>
      </c>
      <c r="I60" s="409">
        <v>3.97</v>
      </c>
      <c r="J60" s="47">
        <f t="shared" si="3"/>
        <v>0</v>
      </c>
      <c r="K60" s="21">
        <f t="shared" si="2"/>
        <v>370.2042413381522</v>
      </c>
    </row>
    <row r="61" spans="1:11" s="22" customFormat="1" x14ac:dyDescent="0.35">
      <c r="A61" s="19">
        <v>48</v>
      </c>
      <c r="B61" s="19">
        <v>99205</v>
      </c>
      <c r="C61" s="20" t="s">
        <v>154</v>
      </c>
      <c r="D61" s="116">
        <f>'Schedule 4 Adjustments'!F60</f>
        <v>0</v>
      </c>
      <c r="E61" s="409">
        <v>6.62</v>
      </c>
      <c r="F61" s="47">
        <f t="shared" si="4"/>
        <v>0</v>
      </c>
      <c r="G61" s="21">
        <f t="shared" si="0"/>
        <v>617.31790369233443</v>
      </c>
      <c r="H61" s="150">
        <f>'Schedule 4 Adjustments'!N60</f>
        <v>0</v>
      </c>
      <c r="I61" s="409">
        <v>5.4</v>
      </c>
      <c r="J61" s="47">
        <f t="shared" si="3"/>
        <v>0</v>
      </c>
      <c r="K61" s="21">
        <f t="shared" si="2"/>
        <v>503.55236857078637</v>
      </c>
    </row>
    <row r="62" spans="1:11" s="22" customFormat="1" ht="43.5" x14ac:dyDescent="0.35">
      <c r="A62" s="19">
        <v>49</v>
      </c>
      <c r="B62" s="19">
        <v>99211</v>
      </c>
      <c r="C62" s="20" t="s">
        <v>345</v>
      </c>
      <c r="D62" s="116">
        <f>'Schedule 4 Adjustments'!F61</f>
        <v>0</v>
      </c>
      <c r="E62" s="409">
        <v>0.7</v>
      </c>
      <c r="F62" s="47">
        <f t="shared" si="4"/>
        <v>0</v>
      </c>
      <c r="G62" s="21">
        <f t="shared" si="0"/>
        <v>65.275307036953791</v>
      </c>
      <c r="H62" s="150">
        <f>'Schedule 4 Adjustments'!N61</f>
        <v>0</v>
      </c>
      <c r="I62" s="409">
        <v>0.26</v>
      </c>
      <c r="J62" s="47">
        <f t="shared" si="3"/>
        <v>0</v>
      </c>
      <c r="K62" s="21">
        <f t="shared" si="2"/>
        <v>24.245114042297121</v>
      </c>
    </row>
    <row r="63" spans="1:11" s="22" customFormat="1" x14ac:dyDescent="0.35">
      <c r="A63" s="19">
        <v>50</v>
      </c>
      <c r="B63" s="19">
        <v>99212</v>
      </c>
      <c r="C63" s="20" t="s">
        <v>155</v>
      </c>
      <c r="D63" s="116">
        <f>'Schedule 4 Adjustments'!F62</f>
        <v>0</v>
      </c>
      <c r="E63" s="409">
        <v>1.7</v>
      </c>
      <c r="F63" s="47">
        <f t="shared" si="4"/>
        <v>0</v>
      </c>
      <c r="G63" s="21">
        <f t="shared" si="0"/>
        <v>158.52574566117349</v>
      </c>
      <c r="H63" s="150">
        <f>'Schedule 4 Adjustments'!N62</f>
        <v>122</v>
      </c>
      <c r="I63" s="409">
        <v>1.05</v>
      </c>
      <c r="J63" s="47">
        <f t="shared" si="3"/>
        <v>128.1</v>
      </c>
      <c r="K63" s="21">
        <f t="shared" si="2"/>
        <v>97.912960555430686</v>
      </c>
    </row>
    <row r="64" spans="1:11" s="22" customFormat="1" x14ac:dyDescent="0.35">
      <c r="A64" s="19">
        <v>51</v>
      </c>
      <c r="B64" s="19">
        <v>99213</v>
      </c>
      <c r="C64" s="20" t="s">
        <v>155</v>
      </c>
      <c r="D64" s="116">
        <f>'Schedule 4 Adjustments'!F63</f>
        <v>16</v>
      </c>
      <c r="E64" s="409">
        <v>2.73</v>
      </c>
      <c r="F64" s="47">
        <f t="shared" si="4"/>
        <v>43.68</v>
      </c>
      <c r="G64" s="21">
        <f t="shared" si="0"/>
        <v>254.57369744411977</v>
      </c>
      <c r="H64" s="150">
        <f>'Schedule 4 Adjustments'!N63</f>
        <v>703</v>
      </c>
      <c r="I64" s="409">
        <v>1.96</v>
      </c>
      <c r="J64" s="47">
        <f t="shared" si="3"/>
        <v>1377.8799999999999</v>
      </c>
      <c r="K64" s="21">
        <f t="shared" si="2"/>
        <v>182.77085970347059</v>
      </c>
    </row>
    <row r="65" spans="1:11" s="22" customFormat="1" x14ac:dyDescent="0.35">
      <c r="A65" s="19">
        <v>52</v>
      </c>
      <c r="B65" s="19">
        <v>99214</v>
      </c>
      <c r="C65" s="20" t="s">
        <v>155</v>
      </c>
      <c r="D65" s="116">
        <f>'Schedule 4 Adjustments'!F64</f>
        <v>126</v>
      </c>
      <c r="E65" s="409">
        <v>3.85</v>
      </c>
      <c r="F65" s="47">
        <f t="shared" si="4"/>
        <v>485.1</v>
      </c>
      <c r="G65" s="21">
        <f t="shared" si="0"/>
        <v>359.01418870324585</v>
      </c>
      <c r="H65" s="150">
        <f>'Schedule 4 Adjustments'!N64</f>
        <v>17147</v>
      </c>
      <c r="I65" s="409">
        <v>2.89</v>
      </c>
      <c r="J65" s="47">
        <f t="shared" si="3"/>
        <v>49554.83</v>
      </c>
      <c r="K65" s="21">
        <f t="shared" si="2"/>
        <v>269.49376762399493</v>
      </c>
    </row>
    <row r="66" spans="1:11" s="22" customFormat="1" x14ac:dyDescent="0.35">
      <c r="A66" s="19">
        <v>53</v>
      </c>
      <c r="B66" s="19">
        <v>99215</v>
      </c>
      <c r="C66" s="20" t="s">
        <v>155</v>
      </c>
      <c r="D66" s="116">
        <f>'Schedule 4 Adjustments'!F65</f>
        <v>13</v>
      </c>
      <c r="E66" s="409">
        <v>5.42</v>
      </c>
      <c r="F66" s="47">
        <f t="shared" si="4"/>
        <v>70.459999999999994</v>
      </c>
      <c r="G66" s="21">
        <f t="shared" si="0"/>
        <v>505.41737734327074</v>
      </c>
      <c r="H66" s="150">
        <f>'Schedule 4 Adjustments'!N65</f>
        <v>1163</v>
      </c>
      <c r="I66" s="409">
        <v>4.29</v>
      </c>
      <c r="J66" s="47">
        <f t="shared" si="3"/>
        <v>4989.2700000000004</v>
      </c>
      <c r="K66" s="21">
        <f t="shared" si="2"/>
        <v>400.04438169790251</v>
      </c>
    </row>
    <row r="67" spans="1:11" s="22" customFormat="1" x14ac:dyDescent="0.35">
      <c r="A67" s="19">
        <v>54</v>
      </c>
      <c r="B67" s="19">
        <v>99221</v>
      </c>
      <c r="C67" s="20" t="s">
        <v>121</v>
      </c>
      <c r="D67" s="116">
        <f>'Schedule 4 Adjustments'!F66</f>
        <v>0</v>
      </c>
      <c r="E67" s="409">
        <v>2.46</v>
      </c>
      <c r="F67" s="47">
        <f t="shared" si="4"/>
        <v>0</v>
      </c>
      <c r="G67" s="21">
        <f t="shared" si="0"/>
        <v>229.39607901558045</v>
      </c>
      <c r="H67" s="150">
        <f>'Schedule 4 Adjustments'!N66</f>
        <v>0</v>
      </c>
      <c r="I67" s="409">
        <v>2.46</v>
      </c>
      <c r="J67" s="47">
        <f t="shared" si="3"/>
        <v>0</v>
      </c>
      <c r="K67" s="21">
        <f t="shared" si="2"/>
        <v>229.39607901558045</v>
      </c>
    </row>
    <row r="68" spans="1:11" s="22" customFormat="1" x14ac:dyDescent="0.35">
      <c r="A68" s="19">
        <v>55</v>
      </c>
      <c r="B68" s="19">
        <v>99222</v>
      </c>
      <c r="C68" s="20" t="s">
        <v>122</v>
      </c>
      <c r="D68" s="116">
        <f>'Schedule 4 Adjustments'!F67</f>
        <v>0</v>
      </c>
      <c r="E68" s="409">
        <v>3.88</v>
      </c>
      <c r="F68" s="47">
        <f t="shared" si="4"/>
        <v>0</v>
      </c>
      <c r="G68" s="21">
        <f t="shared" si="0"/>
        <v>361.81170186197244</v>
      </c>
      <c r="H68" s="150">
        <f>'Schedule 4 Adjustments'!N67</f>
        <v>0</v>
      </c>
      <c r="I68" s="409">
        <v>3.88</v>
      </c>
      <c r="J68" s="47">
        <f t="shared" si="3"/>
        <v>0</v>
      </c>
      <c r="K68" s="21">
        <f t="shared" si="2"/>
        <v>361.81170186197244</v>
      </c>
    </row>
    <row r="69" spans="1:11" s="22" customFormat="1" x14ac:dyDescent="0.35">
      <c r="A69" s="19">
        <v>56</v>
      </c>
      <c r="B69" s="19">
        <v>99223</v>
      </c>
      <c r="C69" s="20" t="s">
        <v>123</v>
      </c>
      <c r="D69" s="116">
        <f>'Schedule 4 Adjustments'!F68</f>
        <v>0</v>
      </c>
      <c r="E69" s="409">
        <v>5.14</v>
      </c>
      <c r="F69" s="47">
        <f t="shared" si="4"/>
        <v>0</v>
      </c>
      <c r="G69" s="21">
        <f t="shared" si="0"/>
        <v>479.30725452848924</v>
      </c>
      <c r="H69" s="150">
        <f>'Schedule 4 Adjustments'!N68</f>
        <v>0</v>
      </c>
      <c r="I69" s="409">
        <v>5.14</v>
      </c>
      <c r="J69" s="47">
        <f t="shared" si="3"/>
        <v>0</v>
      </c>
      <c r="K69" s="21">
        <f t="shared" si="2"/>
        <v>479.30725452848924</v>
      </c>
    </row>
    <row r="70" spans="1:11" s="22" customFormat="1" x14ac:dyDescent="0.35">
      <c r="A70" s="19">
        <v>57</v>
      </c>
      <c r="B70" s="19">
        <v>99231</v>
      </c>
      <c r="C70" s="20" t="s">
        <v>124</v>
      </c>
      <c r="D70" s="116">
        <f>'Schedule 4 Adjustments'!F69</f>
        <v>0</v>
      </c>
      <c r="E70" s="409">
        <v>1.47</v>
      </c>
      <c r="F70" s="47">
        <f t="shared" si="4"/>
        <v>0</v>
      </c>
      <c r="G70" s="21">
        <f t="shared" si="0"/>
        <v>137.07814477760294</v>
      </c>
      <c r="H70" s="150">
        <f>'Schedule 4 Adjustments'!N69</f>
        <v>0</v>
      </c>
      <c r="I70" s="409">
        <v>1.47</v>
      </c>
      <c r="J70" s="47">
        <f t="shared" si="3"/>
        <v>0</v>
      </c>
      <c r="K70" s="21">
        <f t="shared" si="2"/>
        <v>137.07814477760294</v>
      </c>
    </row>
    <row r="71" spans="1:11" s="22" customFormat="1" x14ac:dyDescent="0.35">
      <c r="A71" s="19">
        <v>58</v>
      </c>
      <c r="B71" s="19">
        <v>99232</v>
      </c>
      <c r="C71" s="20" t="s">
        <v>125</v>
      </c>
      <c r="D71" s="116">
        <f>'Schedule 4 Adjustments'!F70</f>
        <v>0</v>
      </c>
      <c r="E71" s="409">
        <v>2.34</v>
      </c>
      <c r="F71" s="47">
        <f t="shared" si="4"/>
        <v>0</v>
      </c>
      <c r="G71" s="21">
        <f t="shared" si="0"/>
        <v>218.20602638067407</v>
      </c>
      <c r="H71" s="150">
        <f>'Schedule 4 Adjustments'!N70</f>
        <v>0</v>
      </c>
      <c r="I71" s="409">
        <v>2.34</v>
      </c>
      <c r="J71" s="47">
        <f t="shared" si="3"/>
        <v>0</v>
      </c>
      <c r="K71" s="21">
        <f t="shared" si="2"/>
        <v>218.20602638067407</v>
      </c>
    </row>
    <row r="72" spans="1:11" s="22" customFormat="1" x14ac:dyDescent="0.35">
      <c r="A72" s="19">
        <v>59</v>
      </c>
      <c r="B72" s="19">
        <v>99233</v>
      </c>
      <c r="C72" s="20" t="s">
        <v>126</v>
      </c>
      <c r="D72" s="116">
        <f>'Schedule 4 Adjustments'!F71</f>
        <v>0</v>
      </c>
      <c r="E72" s="409">
        <v>3.52</v>
      </c>
      <c r="F72" s="47">
        <f t="shared" si="4"/>
        <v>0</v>
      </c>
      <c r="G72" s="21">
        <f t="shared" si="0"/>
        <v>328.24154395725333</v>
      </c>
      <c r="H72" s="150">
        <f>'Schedule 4 Adjustments'!N71</f>
        <v>0</v>
      </c>
      <c r="I72" s="409">
        <v>3.52</v>
      </c>
      <c r="J72" s="47">
        <f t="shared" si="3"/>
        <v>0</v>
      </c>
      <c r="K72" s="21">
        <f t="shared" si="2"/>
        <v>328.24154395725333</v>
      </c>
    </row>
    <row r="73" spans="1:11" s="22" customFormat="1" ht="29" x14ac:dyDescent="0.35">
      <c r="A73" s="19">
        <v>60</v>
      </c>
      <c r="B73" s="19">
        <v>99234</v>
      </c>
      <c r="C73" s="20" t="s">
        <v>360</v>
      </c>
      <c r="D73" s="116">
        <f>'Schedule 4 Adjustments'!F72</f>
        <v>0</v>
      </c>
      <c r="E73" s="409">
        <v>2.9</v>
      </c>
      <c r="F73" s="47">
        <f t="shared" si="4"/>
        <v>0</v>
      </c>
      <c r="G73" s="21">
        <f t="shared" si="0"/>
        <v>270.42627201023714</v>
      </c>
      <c r="H73" s="150">
        <f>'Schedule 4 Adjustments'!N72</f>
        <v>0</v>
      </c>
      <c r="I73" s="409">
        <v>2.9</v>
      </c>
      <c r="J73" s="47">
        <f t="shared" si="3"/>
        <v>0</v>
      </c>
      <c r="K73" s="21">
        <f t="shared" si="2"/>
        <v>270.42627201023714</v>
      </c>
    </row>
    <row r="74" spans="1:11" s="22" customFormat="1" ht="29" x14ac:dyDescent="0.35">
      <c r="A74" s="19">
        <v>61</v>
      </c>
      <c r="B74" s="19">
        <v>99235</v>
      </c>
      <c r="C74" s="20" t="s">
        <v>361</v>
      </c>
      <c r="D74" s="116">
        <f>'Schedule 4 Adjustments'!F73</f>
        <v>0</v>
      </c>
      <c r="E74" s="409">
        <v>4.7300000000000004</v>
      </c>
      <c r="F74" s="47">
        <f t="shared" si="4"/>
        <v>0</v>
      </c>
      <c r="G74" s="21">
        <f t="shared" si="0"/>
        <v>441.07457469255922</v>
      </c>
      <c r="H74" s="150">
        <f>'Schedule 4 Adjustments'!N73</f>
        <v>0</v>
      </c>
      <c r="I74" s="409">
        <v>4.7300000000000004</v>
      </c>
      <c r="J74" s="47">
        <f t="shared" si="3"/>
        <v>0</v>
      </c>
      <c r="K74" s="21">
        <f t="shared" si="2"/>
        <v>441.07457469255922</v>
      </c>
    </row>
    <row r="75" spans="1:11" s="22" customFormat="1" ht="29" x14ac:dyDescent="0.35">
      <c r="A75" s="19">
        <v>62</v>
      </c>
      <c r="B75" s="19">
        <v>99236</v>
      </c>
      <c r="C75" s="20" t="s">
        <v>362</v>
      </c>
      <c r="D75" s="116">
        <f>'Schedule 4 Adjustments'!F74</f>
        <v>0</v>
      </c>
      <c r="E75" s="409">
        <v>6.18</v>
      </c>
      <c r="F75" s="47">
        <f t="shared" si="4"/>
        <v>0</v>
      </c>
      <c r="G75" s="21">
        <f t="shared" si="0"/>
        <v>576.28771069767765</v>
      </c>
      <c r="H75" s="150">
        <f>'Schedule 4 Adjustments'!N74</f>
        <v>0</v>
      </c>
      <c r="I75" s="409">
        <v>6.18</v>
      </c>
      <c r="J75" s="47">
        <f t="shared" si="3"/>
        <v>0</v>
      </c>
      <c r="K75" s="21">
        <f t="shared" si="2"/>
        <v>576.28771069767765</v>
      </c>
    </row>
    <row r="76" spans="1:11" s="22" customFormat="1" x14ac:dyDescent="0.35">
      <c r="A76" s="19">
        <v>63</v>
      </c>
      <c r="B76" s="19">
        <v>99238</v>
      </c>
      <c r="C76" s="20" t="s">
        <v>346</v>
      </c>
      <c r="D76" s="116">
        <f>'Schedule 4 Adjustments'!F75</f>
        <v>0</v>
      </c>
      <c r="E76" s="409">
        <v>2.41</v>
      </c>
      <c r="F76" s="47">
        <f t="shared" si="4"/>
        <v>0</v>
      </c>
      <c r="G76" s="21">
        <f t="shared" si="0"/>
        <v>224.73355708436949</v>
      </c>
      <c r="H76" s="150">
        <f>'Schedule 4 Adjustments'!N75</f>
        <v>0</v>
      </c>
      <c r="I76" s="409">
        <v>2.41</v>
      </c>
      <c r="J76" s="47">
        <f t="shared" si="3"/>
        <v>0</v>
      </c>
      <c r="K76" s="21">
        <f t="shared" si="2"/>
        <v>224.73355708436949</v>
      </c>
    </row>
    <row r="77" spans="1:11" s="22" customFormat="1" x14ac:dyDescent="0.35">
      <c r="A77" s="19">
        <v>64</v>
      </c>
      <c r="B77" s="19">
        <v>99239</v>
      </c>
      <c r="C77" s="20" t="s">
        <v>127</v>
      </c>
      <c r="D77" s="116">
        <f>'Schedule 4 Adjustments'!F76</f>
        <v>0</v>
      </c>
      <c r="E77" s="409">
        <v>3.4</v>
      </c>
      <c r="F77" s="47">
        <f t="shared" si="4"/>
        <v>0</v>
      </c>
      <c r="G77" s="21">
        <f t="shared" si="0"/>
        <v>317.05149132234698</v>
      </c>
      <c r="H77" s="150">
        <f>'Schedule 4 Adjustments'!N76</f>
        <v>0</v>
      </c>
      <c r="I77" s="409">
        <v>3.4</v>
      </c>
      <c r="J77" s="47">
        <f t="shared" si="3"/>
        <v>0</v>
      </c>
      <c r="K77" s="21">
        <f t="shared" si="2"/>
        <v>317.05149132234698</v>
      </c>
    </row>
    <row r="78" spans="1:11" s="22" customFormat="1" x14ac:dyDescent="0.35">
      <c r="A78" s="19">
        <v>65</v>
      </c>
      <c r="B78" s="19">
        <v>99242</v>
      </c>
      <c r="C78" s="20" t="s">
        <v>347</v>
      </c>
      <c r="D78" s="116">
        <f>'Schedule 4 Adjustments'!F77</f>
        <v>0</v>
      </c>
      <c r="E78" s="409">
        <v>2.25</v>
      </c>
      <c r="F78" s="148">
        <f t="shared" si="4"/>
        <v>0</v>
      </c>
      <c r="G78" s="149">
        <f t="shared" si="0"/>
        <v>209.81348690449431</v>
      </c>
      <c r="H78" s="150">
        <f>'Schedule 4 Adjustments'!N77</f>
        <v>1</v>
      </c>
      <c r="I78" s="409">
        <v>1.66</v>
      </c>
      <c r="J78" s="47">
        <f t="shared" si="3"/>
        <v>1.66</v>
      </c>
      <c r="K78" s="21">
        <f t="shared" si="2"/>
        <v>154.79572811620469</v>
      </c>
    </row>
    <row r="79" spans="1:11" s="22" customFormat="1" x14ac:dyDescent="0.35">
      <c r="A79" s="19">
        <v>66</v>
      </c>
      <c r="B79" s="19">
        <v>99243</v>
      </c>
      <c r="C79" s="20" t="s">
        <v>348</v>
      </c>
      <c r="D79" s="116">
        <f>'Schedule 4 Adjustments'!F78</f>
        <v>0</v>
      </c>
      <c r="E79" s="409">
        <v>3.37</v>
      </c>
      <c r="F79" s="47">
        <f t="shared" si="4"/>
        <v>0</v>
      </c>
      <c r="G79" s="21">
        <f t="shared" si="0"/>
        <v>314.25397816362039</v>
      </c>
      <c r="H79" s="150">
        <f>'Schedule 4 Adjustments'!N78</f>
        <v>0</v>
      </c>
      <c r="I79" s="409">
        <v>2.62</v>
      </c>
      <c r="J79" s="47">
        <f t="shared" si="3"/>
        <v>0</v>
      </c>
      <c r="K79" s="21">
        <f t="shared" si="2"/>
        <v>244.31614919545561</v>
      </c>
    </row>
    <row r="80" spans="1:11" s="22" customFormat="1" x14ac:dyDescent="0.35">
      <c r="A80" s="19">
        <v>67</v>
      </c>
      <c r="B80" s="19">
        <v>99244</v>
      </c>
      <c r="C80" s="20" t="s">
        <v>349</v>
      </c>
      <c r="D80" s="116">
        <f>'Schedule 4 Adjustments'!F79</f>
        <v>0</v>
      </c>
      <c r="E80" s="409">
        <v>4.8099999999999996</v>
      </c>
      <c r="F80" s="47">
        <f t="shared" si="4"/>
        <v>0</v>
      </c>
      <c r="G80" s="21">
        <f t="shared" si="0"/>
        <v>448.53460978249672</v>
      </c>
      <c r="H80" s="150">
        <f>'Schedule 4 Adjustments'!N79</f>
        <v>2</v>
      </c>
      <c r="I80" s="409">
        <v>3.99</v>
      </c>
      <c r="J80" s="47">
        <f t="shared" si="3"/>
        <v>7.98</v>
      </c>
      <c r="K80" s="21">
        <f t="shared" si="2"/>
        <v>372.06925011063663</v>
      </c>
    </row>
    <row r="81" spans="1:11" s="22" customFormat="1" x14ac:dyDescent="0.35">
      <c r="A81" s="19">
        <v>68</v>
      </c>
      <c r="B81" s="19">
        <v>99245</v>
      </c>
      <c r="C81" s="20" t="s">
        <v>350</v>
      </c>
      <c r="D81" s="116">
        <f>'Schedule 4 Adjustments'!F80</f>
        <v>0</v>
      </c>
      <c r="E81" s="409">
        <v>6.28</v>
      </c>
      <c r="F81" s="47">
        <f t="shared" si="4"/>
        <v>0</v>
      </c>
      <c r="G81" s="21">
        <f t="shared" si="0"/>
        <v>585.61275456009969</v>
      </c>
      <c r="H81" s="150">
        <f>'Schedule 4 Adjustments'!N80</f>
        <v>1</v>
      </c>
      <c r="I81" s="409">
        <v>5.36</v>
      </c>
      <c r="J81" s="47">
        <f t="shared" si="3"/>
        <v>5.36</v>
      </c>
      <c r="K81" s="21">
        <f t="shared" si="2"/>
        <v>499.82235102581762</v>
      </c>
    </row>
    <row r="82" spans="1:11" s="22" customFormat="1" x14ac:dyDescent="0.35">
      <c r="A82" s="19">
        <v>69</v>
      </c>
      <c r="B82" s="19">
        <v>99252</v>
      </c>
      <c r="C82" s="20" t="s">
        <v>351</v>
      </c>
      <c r="D82" s="116">
        <f>'Schedule 4 Adjustments'!F81</f>
        <v>0</v>
      </c>
      <c r="E82" s="409">
        <v>2.11</v>
      </c>
      <c r="F82" s="47">
        <f t="shared" si="4"/>
        <v>0</v>
      </c>
      <c r="G82" s="21">
        <f t="shared" si="0"/>
        <v>196.75842549710356</v>
      </c>
      <c r="H82" s="150">
        <f>'Schedule 4 Adjustments'!N81</f>
        <v>0</v>
      </c>
      <c r="I82" s="409">
        <v>2.11</v>
      </c>
      <c r="J82" s="47">
        <f t="shared" si="3"/>
        <v>0</v>
      </c>
      <c r="K82" s="21">
        <f t="shared" si="2"/>
        <v>196.75842549710356</v>
      </c>
    </row>
    <row r="83" spans="1:11" s="22" customFormat="1" x14ac:dyDescent="0.35">
      <c r="A83" s="19">
        <v>70</v>
      </c>
      <c r="B83" s="19">
        <v>99253</v>
      </c>
      <c r="C83" s="20" t="s">
        <v>352</v>
      </c>
      <c r="D83" s="116">
        <f>'Schedule 4 Adjustments'!F82</f>
        <v>0</v>
      </c>
      <c r="E83" s="409">
        <v>2.96</v>
      </c>
      <c r="F83" s="47">
        <f t="shared" si="4"/>
        <v>0</v>
      </c>
      <c r="G83" s="21">
        <f t="shared" ref="G83:G146" si="5">E83*$F$13</f>
        <v>276.02129832769032</v>
      </c>
      <c r="H83" s="150">
        <f>'Schedule 4 Adjustments'!N82</f>
        <v>0</v>
      </c>
      <c r="I83" s="409">
        <v>2.96</v>
      </c>
      <c r="J83" s="47">
        <f t="shared" si="3"/>
        <v>0</v>
      </c>
      <c r="K83" s="21">
        <f t="shared" ref="K83:K146" si="6">I83*$F$13</f>
        <v>276.02129832769032</v>
      </c>
    </row>
    <row r="84" spans="1:11" s="22" customFormat="1" x14ac:dyDescent="0.35">
      <c r="A84" s="19">
        <v>71</v>
      </c>
      <c r="B84" s="19">
        <v>99254</v>
      </c>
      <c r="C84" s="20" t="s">
        <v>353</v>
      </c>
      <c r="D84" s="116">
        <f>'Schedule 4 Adjustments'!F83</f>
        <v>0</v>
      </c>
      <c r="E84" s="409">
        <v>4.1100000000000003</v>
      </c>
      <c r="F84" s="47">
        <f t="shared" si="4"/>
        <v>0</v>
      </c>
      <c r="G84" s="21">
        <f t="shared" si="5"/>
        <v>383.25930274554298</v>
      </c>
      <c r="H84" s="150">
        <f>'Schedule 4 Adjustments'!N83</f>
        <v>0</v>
      </c>
      <c r="I84" s="409">
        <v>4.1100000000000003</v>
      </c>
      <c r="J84" s="47">
        <f t="shared" ref="J84:J147" si="7">H84*I84</f>
        <v>0</v>
      </c>
      <c r="K84" s="21">
        <f t="shared" si="6"/>
        <v>383.25930274554298</v>
      </c>
    </row>
    <row r="85" spans="1:11" s="22" customFormat="1" x14ac:dyDescent="0.35">
      <c r="A85" s="19">
        <v>72</v>
      </c>
      <c r="B85" s="19">
        <v>99255</v>
      </c>
      <c r="C85" s="20" t="s">
        <v>354</v>
      </c>
      <c r="D85" s="116">
        <f>'Schedule 4 Adjustments'!F84</f>
        <v>0</v>
      </c>
      <c r="E85" s="409">
        <v>5.53</v>
      </c>
      <c r="F85" s="47">
        <f t="shared" ref="F85:F148" si="8">D85*E85</f>
        <v>0</v>
      </c>
      <c r="G85" s="21">
        <f t="shared" si="5"/>
        <v>515.67492559193499</v>
      </c>
      <c r="H85" s="150">
        <f>'Schedule 4 Adjustments'!N84</f>
        <v>0</v>
      </c>
      <c r="I85" s="409">
        <v>5.53</v>
      </c>
      <c r="J85" s="47">
        <f t="shared" si="7"/>
        <v>0</v>
      </c>
      <c r="K85" s="21">
        <f t="shared" si="6"/>
        <v>515.67492559193499</v>
      </c>
    </row>
    <row r="86" spans="1:11" s="22" customFormat="1" x14ac:dyDescent="0.35">
      <c r="A86" s="19">
        <v>73</v>
      </c>
      <c r="B86" s="19">
        <v>99281</v>
      </c>
      <c r="C86" s="20" t="s">
        <v>355</v>
      </c>
      <c r="D86" s="116">
        <f>'Schedule 4 Adjustments'!F85</f>
        <v>0</v>
      </c>
      <c r="E86" s="409">
        <v>0.34</v>
      </c>
      <c r="F86" s="47">
        <f t="shared" si="8"/>
        <v>0</v>
      </c>
      <c r="G86" s="21">
        <f t="shared" si="5"/>
        <v>31.705149132234698</v>
      </c>
      <c r="H86" s="150">
        <f>'Schedule 4 Adjustments'!N85</f>
        <v>0</v>
      </c>
      <c r="I86" s="409">
        <v>0.34</v>
      </c>
      <c r="J86" s="47">
        <f t="shared" si="7"/>
        <v>0</v>
      </c>
      <c r="K86" s="21">
        <f t="shared" si="6"/>
        <v>31.705149132234698</v>
      </c>
    </row>
    <row r="87" spans="1:11" s="22" customFormat="1" x14ac:dyDescent="0.35">
      <c r="A87" s="19">
        <v>74</v>
      </c>
      <c r="B87" s="19">
        <v>99282</v>
      </c>
      <c r="C87" s="20" t="s">
        <v>356</v>
      </c>
      <c r="D87" s="116">
        <f>'Schedule 4 Adjustments'!F86</f>
        <v>0</v>
      </c>
      <c r="E87" s="409">
        <v>1.24</v>
      </c>
      <c r="F87" s="47">
        <f t="shared" si="8"/>
        <v>0</v>
      </c>
      <c r="G87" s="21">
        <f t="shared" si="5"/>
        <v>115.63054389403243</v>
      </c>
      <c r="H87" s="150">
        <f>'Schedule 4 Adjustments'!N86</f>
        <v>0</v>
      </c>
      <c r="I87" s="409">
        <v>1.24</v>
      </c>
      <c r="J87" s="47">
        <f t="shared" si="7"/>
        <v>0</v>
      </c>
      <c r="K87" s="21">
        <f t="shared" si="6"/>
        <v>115.63054389403243</v>
      </c>
    </row>
    <row r="88" spans="1:11" s="22" customFormat="1" x14ac:dyDescent="0.35">
      <c r="A88" s="19">
        <v>75</v>
      </c>
      <c r="B88" s="19">
        <v>99283</v>
      </c>
      <c r="C88" s="20" t="s">
        <v>357</v>
      </c>
      <c r="D88" s="116">
        <f>'Schedule 4 Adjustments'!F87</f>
        <v>0</v>
      </c>
      <c r="E88" s="409">
        <v>2.11</v>
      </c>
      <c r="F88" s="47">
        <f t="shared" si="8"/>
        <v>0</v>
      </c>
      <c r="G88" s="21">
        <f t="shared" si="5"/>
        <v>196.75842549710356</v>
      </c>
      <c r="H88" s="150">
        <f>'Schedule 4 Adjustments'!N87</f>
        <v>0</v>
      </c>
      <c r="I88" s="409">
        <v>2.11</v>
      </c>
      <c r="J88" s="47">
        <f t="shared" si="7"/>
        <v>0</v>
      </c>
      <c r="K88" s="21">
        <f t="shared" si="6"/>
        <v>196.75842549710356</v>
      </c>
    </row>
    <row r="89" spans="1:11" s="22" customFormat="1" x14ac:dyDescent="0.35">
      <c r="A89" s="19">
        <v>76</v>
      </c>
      <c r="B89" s="19">
        <v>99284</v>
      </c>
      <c r="C89" s="20" t="s">
        <v>358</v>
      </c>
      <c r="D89" s="116">
        <f>'Schedule 4 Adjustments'!F88</f>
        <v>0</v>
      </c>
      <c r="E89" s="409">
        <v>3.59</v>
      </c>
      <c r="F89" s="47">
        <f t="shared" si="8"/>
        <v>0</v>
      </c>
      <c r="G89" s="21">
        <f t="shared" si="5"/>
        <v>334.76907466094872</v>
      </c>
      <c r="H89" s="150">
        <f>'Schedule 4 Adjustments'!N88</f>
        <v>0</v>
      </c>
      <c r="I89" s="409">
        <v>3.59</v>
      </c>
      <c r="J89" s="47">
        <f t="shared" si="7"/>
        <v>0</v>
      </c>
      <c r="K89" s="21">
        <f t="shared" si="6"/>
        <v>334.76907466094872</v>
      </c>
    </row>
    <row r="90" spans="1:11" s="22" customFormat="1" x14ac:dyDescent="0.35">
      <c r="A90" s="19">
        <v>77</v>
      </c>
      <c r="B90" s="19">
        <v>99285</v>
      </c>
      <c r="C90" s="20" t="s">
        <v>359</v>
      </c>
      <c r="D90" s="116">
        <f>'Schedule 4 Adjustments'!F89</f>
        <v>0</v>
      </c>
      <c r="E90" s="409">
        <v>5.2</v>
      </c>
      <c r="F90" s="47">
        <f t="shared" si="8"/>
        <v>0</v>
      </c>
      <c r="G90" s="21">
        <f t="shared" si="5"/>
        <v>484.90228084594241</v>
      </c>
      <c r="H90" s="150">
        <f>'Schedule 4 Adjustments'!N89</f>
        <v>0</v>
      </c>
      <c r="I90" s="409">
        <v>5.2</v>
      </c>
      <c r="J90" s="47">
        <f t="shared" si="7"/>
        <v>0</v>
      </c>
      <c r="K90" s="21">
        <f t="shared" si="6"/>
        <v>484.90228084594241</v>
      </c>
    </row>
    <row r="91" spans="1:11" s="22" customFormat="1" x14ac:dyDescent="0.35">
      <c r="A91" s="19">
        <v>78</v>
      </c>
      <c r="B91" s="19">
        <v>99304</v>
      </c>
      <c r="C91" s="20" t="s">
        <v>363</v>
      </c>
      <c r="D91" s="116">
        <f>'Schedule 4 Adjustments'!F90</f>
        <v>0</v>
      </c>
      <c r="E91" s="409">
        <v>2.39</v>
      </c>
      <c r="F91" s="47">
        <f t="shared" si="8"/>
        <v>0</v>
      </c>
      <c r="G91" s="21">
        <f t="shared" si="5"/>
        <v>222.86854831188509</v>
      </c>
      <c r="H91" s="150">
        <f>'Schedule 4 Adjustments'!N90</f>
        <v>0</v>
      </c>
      <c r="I91" s="409">
        <v>2.39</v>
      </c>
      <c r="J91" s="47">
        <f t="shared" si="7"/>
        <v>0</v>
      </c>
      <c r="K91" s="21">
        <f t="shared" si="6"/>
        <v>222.86854831188509</v>
      </c>
    </row>
    <row r="92" spans="1:11" s="22" customFormat="1" x14ac:dyDescent="0.35">
      <c r="A92" s="19">
        <v>79</v>
      </c>
      <c r="B92" s="19">
        <v>99305</v>
      </c>
      <c r="C92" s="20" t="s">
        <v>364</v>
      </c>
      <c r="D92" s="116">
        <f>'Schedule 4 Adjustments'!F91</f>
        <v>0</v>
      </c>
      <c r="E92" s="409">
        <v>3.97</v>
      </c>
      <c r="F92" s="47">
        <f t="shared" si="8"/>
        <v>0</v>
      </c>
      <c r="G92" s="21">
        <f t="shared" si="5"/>
        <v>370.2042413381522</v>
      </c>
      <c r="H92" s="150">
        <f>'Schedule 4 Adjustments'!N91</f>
        <v>0</v>
      </c>
      <c r="I92" s="409">
        <v>3.97</v>
      </c>
      <c r="J92" s="47">
        <f t="shared" si="7"/>
        <v>0</v>
      </c>
      <c r="K92" s="21">
        <f t="shared" si="6"/>
        <v>370.2042413381522</v>
      </c>
    </row>
    <row r="93" spans="1:11" s="22" customFormat="1" x14ac:dyDescent="0.35">
      <c r="A93" s="19">
        <v>80</v>
      </c>
      <c r="B93" s="19">
        <v>99306</v>
      </c>
      <c r="C93" s="20" t="s">
        <v>365</v>
      </c>
      <c r="D93" s="116">
        <f>'Schedule 4 Adjustments'!F92</f>
        <v>0</v>
      </c>
      <c r="E93" s="409">
        <v>5.42</v>
      </c>
      <c r="F93" s="47">
        <f t="shared" si="8"/>
        <v>0</v>
      </c>
      <c r="G93" s="21">
        <f t="shared" si="5"/>
        <v>505.41737734327074</v>
      </c>
      <c r="H93" s="150">
        <f>'Schedule 4 Adjustments'!N92</f>
        <v>0</v>
      </c>
      <c r="I93" s="409">
        <v>5.42</v>
      </c>
      <c r="J93" s="47">
        <f t="shared" si="7"/>
        <v>0</v>
      </c>
      <c r="K93" s="21">
        <f t="shared" si="6"/>
        <v>505.41737734327074</v>
      </c>
    </row>
    <row r="94" spans="1:11" s="22" customFormat="1" x14ac:dyDescent="0.35">
      <c r="A94" s="19">
        <v>81</v>
      </c>
      <c r="B94" s="19">
        <v>99307</v>
      </c>
      <c r="C94" s="20" t="s">
        <v>366</v>
      </c>
      <c r="D94" s="116">
        <f>'Schedule 4 Adjustments'!F93</f>
        <v>0</v>
      </c>
      <c r="E94" s="409">
        <v>1.2</v>
      </c>
      <c r="F94" s="47">
        <f t="shared" si="8"/>
        <v>0</v>
      </c>
      <c r="G94" s="21">
        <f t="shared" si="5"/>
        <v>111.90052634906364</v>
      </c>
      <c r="H94" s="150">
        <f>'Schedule 4 Adjustments'!N93</f>
        <v>0</v>
      </c>
      <c r="I94" s="409">
        <v>1.2</v>
      </c>
      <c r="J94" s="47">
        <f t="shared" si="7"/>
        <v>0</v>
      </c>
      <c r="K94" s="21">
        <f t="shared" si="6"/>
        <v>111.90052634906364</v>
      </c>
    </row>
    <row r="95" spans="1:11" s="22" customFormat="1" x14ac:dyDescent="0.35">
      <c r="A95" s="19">
        <v>82</v>
      </c>
      <c r="B95" s="19">
        <v>99308</v>
      </c>
      <c r="C95" s="20" t="s">
        <v>367</v>
      </c>
      <c r="D95" s="116">
        <f>'Schedule 4 Adjustments'!F94</f>
        <v>0</v>
      </c>
      <c r="E95" s="409">
        <v>2.2200000000000002</v>
      </c>
      <c r="F95" s="47">
        <f t="shared" si="8"/>
        <v>0</v>
      </c>
      <c r="G95" s="21">
        <f t="shared" si="5"/>
        <v>207.01597374576775</v>
      </c>
      <c r="H95" s="150">
        <f>'Schedule 4 Adjustments'!N94</f>
        <v>0</v>
      </c>
      <c r="I95" s="409">
        <v>2.2200000000000002</v>
      </c>
      <c r="J95" s="47">
        <f t="shared" si="7"/>
        <v>0</v>
      </c>
      <c r="K95" s="21">
        <f t="shared" si="6"/>
        <v>207.01597374576775</v>
      </c>
    </row>
    <row r="96" spans="1:11" s="22" customFormat="1" x14ac:dyDescent="0.35">
      <c r="A96" s="19">
        <v>83</v>
      </c>
      <c r="B96" s="19">
        <v>99309</v>
      </c>
      <c r="C96" s="20" t="s">
        <v>368</v>
      </c>
      <c r="D96" s="116">
        <f>'Schedule 4 Adjustments'!F95</f>
        <v>0</v>
      </c>
      <c r="E96" s="409">
        <v>3.21</v>
      </c>
      <c r="F96" s="47">
        <f t="shared" si="8"/>
        <v>0</v>
      </c>
      <c r="G96" s="21">
        <f t="shared" si="5"/>
        <v>299.33390798374523</v>
      </c>
      <c r="H96" s="150">
        <f>'Schedule 4 Adjustments'!N95</f>
        <v>0</v>
      </c>
      <c r="I96" s="409">
        <v>3.21</v>
      </c>
      <c r="J96" s="47">
        <f t="shared" si="7"/>
        <v>0</v>
      </c>
      <c r="K96" s="21">
        <f t="shared" si="6"/>
        <v>299.33390798374523</v>
      </c>
    </row>
    <row r="97" spans="1:11" s="22" customFormat="1" x14ac:dyDescent="0.35">
      <c r="A97" s="19">
        <v>84</v>
      </c>
      <c r="B97" s="19">
        <v>99310</v>
      </c>
      <c r="C97" s="20" t="s">
        <v>369</v>
      </c>
      <c r="D97" s="116">
        <f>'Schedule 4 Adjustments'!F96</f>
        <v>0</v>
      </c>
      <c r="E97" s="409">
        <v>4.58</v>
      </c>
      <c r="F97" s="47">
        <f t="shared" si="8"/>
        <v>0</v>
      </c>
      <c r="G97" s="21">
        <f t="shared" si="5"/>
        <v>427.08700889892623</v>
      </c>
      <c r="H97" s="150">
        <f>'Schedule 4 Adjustments'!N96</f>
        <v>0</v>
      </c>
      <c r="I97" s="409">
        <v>4.58</v>
      </c>
      <c r="J97" s="47">
        <f t="shared" si="7"/>
        <v>0</v>
      </c>
      <c r="K97" s="21">
        <f t="shared" si="6"/>
        <v>427.08700889892623</v>
      </c>
    </row>
    <row r="98" spans="1:11" s="22" customFormat="1" x14ac:dyDescent="0.35">
      <c r="A98" s="19">
        <v>85</v>
      </c>
      <c r="B98" s="19">
        <v>99315</v>
      </c>
      <c r="C98" s="20" t="s">
        <v>370</v>
      </c>
      <c r="D98" s="116">
        <f>'Schedule 4 Adjustments'!F97</f>
        <v>0</v>
      </c>
      <c r="E98" s="409">
        <v>2.4300000000000002</v>
      </c>
      <c r="F98" s="47">
        <f t="shared" si="8"/>
        <v>0</v>
      </c>
      <c r="G98" s="21">
        <f t="shared" si="5"/>
        <v>226.59856585685387</v>
      </c>
      <c r="H98" s="150">
        <f>'Schedule 4 Adjustments'!N97</f>
        <v>0</v>
      </c>
      <c r="I98" s="409">
        <v>2.4300000000000002</v>
      </c>
      <c r="J98" s="47">
        <f t="shared" si="7"/>
        <v>0</v>
      </c>
      <c r="K98" s="21">
        <f t="shared" si="6"/>
        <v>226.59856585685387</v>
      </c>
    </row>
    <row r="99" spans="1:11" s="22" customFormat="1" x14ac:dyDescent="0.35">
      <c r="A99" s="19">
        <v>86</v>
      </c>
      <c r="B99" s="19">
        <v>99316</v>
      </c>
      <c r="C99" s="20" t="s">
        <v>128</v>
      </c>
      <c r="D99" s="116">
        <f>'Schedule 4 Adjustments'!F98</f>
        <v>0</v>
      </c>
      <c r="E99" s="409">
        <v>3.9</v>
      </c>
      <c r="F99" s="47">
        <f t="shared" si="8"/>
        <v>0</v>
      </c>
      <c r="G99" s="21">
        <f t="shared" si="5"/>
        <v>363.67671063445681</v>
      </c>
      <c r="H99" s="150">
        <f>'Schedule 4 Adjustments'!N98</f>
        <v>0</v>
      </c>
      <c r="I99" s="409">
        <v>3.9</v>
      </c>
      <c r="J99" s="47">
        <f t="shared" si="7"/>
        <v>0</v>
      </c>
      <c r="K99" s="21">
        <f t="shared" si="6"/>
        <v>363.67671063445681</v>
      </c>
    </row>
    <row r="100" spans="1:11" s="22" customFormat="1" x14ac:dyDescent="0.35">
      <c r="A100" s="19">
        <v>87</v>
      </c>
      <c r="B100" s="19">
        <v>99341</v>
      </c>
      <c r="C100" s="20" t="s">
        <v>371</v>
      </c>
      <c r="D100" s="116">
        <f>'Schedule 4 Adjustments'!F99</f>
        <v>0</v>
      </c>
      <c r="E100" s="409">
        <v>1.47</v>
      </c>
      <c r="F100" s="47">
        <f t="shared" si="8"/>
        <v>0</v>
      </c>
      <c r="G100" s="21">
        <f t="shared" si="5"/>
        <v>137.07814477760294</v>
      </c>
      <c r="H100" s="150">
        <f>'Schedule 4 Adjustments'!N99</f>
        <v>0</v>
      </c>
      <c r="I100" s="409">
        <v>1.47</v>
      </c>
      <c r="J100" s="47">
        <f t="shared" si="7"/>
        <v>0</v>
      </c>
      <c r="K100" s="21">
        <f t="shared" si="6"/>
        <v>137.07814477760294</v>
      </c>
    </row>
    <row r="101" spans="1:11" s="22" customFormat="1" x14ac:dyDescent="0.35">
      <c r="A101" s="19">
        <v>88</v>
      </c>
      <c r="B101" s="19">
        <v>99342</v>
      </c>
      <c r="C101" s="20" t="s">
        <v>372</v>
      </c>
      <c r="D101" s="116">
        <f>'Schedule 4 Adjustments'!F100</f>
        <v>0</v>
      </c>
      <c r="E101" s="409">
        <v>2.33</v>
      </c>
      <c r="F101" s="47">
        <f t="shared" si="8"/>
        <v>0</v>
      </c>
      <c r="G101" s="21">
        <f t="shared" si="5"/>
        <v>217.27352199443189</v>
      </c>
      <c r="H101" s="150">
        <f>'Schedule 4 Adjustments'!N100</f>
        <v>0</v>
      </c>
      <c r="I101" s="409">
        <v>2.33</v>
      </c>
      <c r="J101" s="47">
        <f t="shared" si="7"/>
        <v>0</v>
      </c>
      <c r="K101" s="21">
        <f t="shared" si="6"/>
        <v>217.27352199443189</v>
      </c>
    </row>
    <row r="102" spans="1:11" s="22" customFormat="1" x14ac:dyDescent="0.35">
      <c r="A102" s="19">
        <v>89</v>
      </c>
      <c r="B102" s="19">
        <v>99344</v>
      </c>
      <c r="C102" s="20" t="s">
        <v>373</v>
      </c>
      <c r="D102" s="116">
        <f>'Schedule 4 Adjustments'!F101</f>
        <v>0</v>
      </c>
      <c r="E102" s="409">
        <v>4.2300000000000004</v>
      </c>
      <c r="F102" s="47">
        <f t="shared" si="8"/>
        <v>0</v>
      </c>
      <c r="G102" s="21">
        <f t="shared" si="5"/>
        <v>394.44935538044933</v>
      </c>
      <c r="H102" s="150">
        <f>'Schedule 4 Adjustments'!N101</f>
        <v>0</v>
      </c>
      <c r="I102" s="409">
        <v>4.2300000000000004</v>
      </c>
      <c r="J102" s="47">
        <f t="shared" si="7"/>
        <v>0</v>
      </c>
      <c r="K102" s="21">
        <f t="shared" si="6"/>
        <v>394.44935538044933</v>
      </c>
    </row>
    <row r="103" spans="1:11" s="22" customFormat="1" x14ac:dyDescent="0.35">
      <c r="A103" s="19">
        <v>90</v>
      </c>
      <c r="B103" s="19">
        <v>99345</v>
      </c>
      <c r="C103" s="20" t="s">
        <v>374</v>
      </c>
      <c r="D103" s="116">
        <f>'Schedule 4 Adjustments'!F102</f>
        <v>0</v>
      </c>
      <c r="E103" s="409">
        <v>6.01</v>
      </c>
      <c r="F103" s="47">
        <f t="shared" si="8"/>
        <v>0</v>
      </c>
      <c r="G103" s="21">
        <f t="shared" si="5"/>
        <v>560.4351361315604</v>
      </c>
      <c r="H103" s="150">
        <f>'Schedule 4 Adjustments'!N102</f>
        <v>0</v>
      </c>
      <c r="I103" s="409">
        <v>6.01</v>
      </c>
      <c r="J103" s="47">
        <f t="shared" si="7"/>
        <v>0</v>
      </c>
      <c r="K103" s="21">
        <f t="shared" si="6"/>
        <v>560.4351361315604</v>
      </c>
    </row>
    <row r="104" spans="1:11" s="22" customFormat="1" x14ac:dyDescent="0.35">
      <c r="A104" s="19">
        <v>91</v>
      </c>
      <c r="B104" s="19">
        <v>99347</v>
      </c>
      <c r="C104" s="20" t="s">
        <v>375</v>
      </c>
      <c r="D104" s="116">
        <f>'Schedule 4 Adjustments'!F103</f>
        <v>0</v>
      </c>
      <c r="E104" s="409">
        <v>1.35</v>
      </c>
      <c r="F104" s="47">
        <f t="shared" si="8"/>
        <v>0</v>
      </c>
      <c r="G104" s="21">
        <f t="shared" si="5"/>
        <v>125.88809214269659</v>
      </c>
      <c r="H104" s="150">
        <f>'Schedule 4 Adjustments'!N103</f>
        <v>0</v>
      </c>
      <c r="I104" s="409">
        <v>1.35</v>
      </c>
      <c r="J104" s="47">
        <f t="shared" si="7"/>
        <v>0</v>
      </c>
      <c r="K104" s="21">
        <f t="shared" si="6"/>
        <v>125.88809214269659</v>
      </c>
    </row>
    <row r="105" spans="1:11" s="22" customFormat="1" x14ac:dyDescent="0.35">
      <c r="A105" s="19">
        <v>92</v>
      </c>
      <c r="B105" s="19">
        <v>99348</v>
      </c>
      <c r="C105" s="20" t="s">
        <v>376</v>
      </c>
      <c r="D105" s="116">
        <f>'Schedule 4 Adjustments'!F104</f>
        <v>0</v>
      </c>
      <c r="E105" s="409">
        <v>2.2799999999999998</v>
      </c>
      <c r="F105" s="47">
        <f t="shared" si="8"/>
        <v>0</v>
      </c>
      <c r="G105" s="21">
        <f t="shared" si="5"/>
        <v>212.6110000632209</v>
      </c>
      <c r="H105" s="150">
        <f>'Schedule 4 Adjustments'!N104</f>
        <v>0</v>
      </c>
      <c r="I105" s="409">
        <v>2.2799999999999998</v>
      </c>
      <c r="J105" s="47">
        <f t="shared" si="7"/>
        <v>0</v>
      </c>
      <c r="K105" s="21">
        <f t="shared" si="6"/>
        <v>212.6110000632209</v>
      </c>
    </row>
    <row r="106" spans="1:11" s="22" customFormat="1" x14ac:dyDescent="0.35">
      <c r="A106" s="19">
        <v>93</v>
      </c>
      <c r="B106" s="19">
        <v>99349</v>
      </c>
      <c r="C106" s="20" t="s">
        <v>377</v>
      </c>
      <c r="D106" s="116">
        <f>'Schedule 4 Adjustments'!F105</f>
        <v>0</v>
      </c>
      <c r="E106" s="409">
        <v>3.79</v>
      </c>
      <c r="F106" s="47">
        <f t="shared" si="8"/>
        <v>0</v>
      </c>
      <c r="G106" s="21">
        <f t="shared" si="5"/>
        <v>353.41916238579267</v>
      </c>
      <c r="H106" s="150">
        <f>'Schedule 4 Adjustments'!N105</f>
        <v>0</v>
      </c>
      <c r="I106" s="409">
        <v>3.79</v>
      </c>
      <c r="J106" s="47">
        <f t="shared" si="7"/>
        <v>0</v>
      </c>
      <c r="K106" s="21">
        <f t="shared" si="6"/>
        <v>353.41916238579267</v>
      </c>
    </row>
    <row r="107" spans="1:11" s="22" customFormat="1" x14ac:dyDescent="0.35">
      <c r="A107" s="19">
        <v>94</v>
      </c>
      <c r="B107" s="19">
        <v>99350</v>
      </c>
      <c r="C107" s="20" t="s">
        <v>378</v>
      </c>
      <c r="D107" s="116">
        <f>'Schedule 4 Adjustments'!F106</f>
        <v>0</v>
      </c>
      <c r="E107" s="409">
        <v>5.52</v>
      </c>
      <c r="F107" s="47">
        <f t="shared" si="8"/>
        <v>0</v>
      </c>
      <c r="G107" s="21">
        <f t="shared" si="5"/>
        <v>514.74242120569272</v>
      </c>
      <c r="H107" s="150">
        <f>'Schedule 4 Adjustments'!N106</f>
        <v>0</v>
      </c>
      <c r="I107" s="409">
        <v>5.52</v>
      </c>
      <c r="J107" s="47">
        <f t="shared" si="7"/>
        <v>0</v>
      </c>
      <c r="K107" s="21">
        <f t="shared" si="6"/>
        <v>514.74242120569272</v>
      </c>
    </row>
    <row r="108" spans="1:11" s="22" customFormat="1" x14ac:dyDescent="0.35">
      <c r="A108" s="19">
        <v>95</v>
      </c>
      <c r="B108" s="19">
        <v>99366</v>
      </c>
      <c r="C108" s="20" t="s">
        <v>379</v>
      </c>
      <c r="D108" s="116">
        <f>'Schedule 4 Adjustments'!F107</f>
        <v>4</v>
      </c>
      <c r="E108" s="409">
        <v>1.22</v>
      </c>
      <c r="F108" s="47">
        <f t="shared" si="8"/>
        <v>4.88</v>
      </c>
      <c r="G108" s="21">
        <f t="shared" si="5"/>
        <v>113.76553512154803</v>
      </c>
      <c r="H108" s="150">
        <f>'Schedule 4 Adjustments'!N107</f>
        <v>73</v>
      </c>
      <c r="I108" s="409">
        <v>1.19</v>
      </c>
      <c r="J108" s="47">
        <f t="shared" si="7"/>
        <v>86.86999999999999</v>
      </c>
      <c r="K108" s="21">
        <f t="shared" si="6"/>
        <v>110.96802196282144</v>
      </c>
    </row>
    <row r="109" spans="1:11" s="22" customFormat="1" x14ac:dyDescent="0.35">
      <c r="A109" s="19">
        <v>96</v>
      </c>
      <c r="B109" s="19">
        <v>99367</v>
      </c>
      <c r="C109" s="20" t="s">
        <v>380</v>
      </c>
      <c r="D109" s="116">
        <f>'Schedule 4 Adjustments'!F108</f>
        <v>0</v>
      </c>
      <c r="E109" s="409">
        <v>1.6</v>
      </c>
      <c r="F109" s="47">
        <f t="shared" si="8"/>
        <v>0</v>
      </c>
      <c r="G109" s="21">
        <f t="shared" si="5"/>
        <v>149.20070179875151</v>
      </c>
      <c r="H109" s="150">
        <f>'Schedule 4 Adjustments'!N108</f>
        <v>0</v>
      </c>
      <c r="I109" s="409">
        <v>1.6</v>
      </c>
      <c r="J109" s="47">
        <f t="shared" si="7"/>
        <v>0</v>
      </c>
      <c r="K109" s="21">
        <f t="shared" si="6"/>
        <v>149.20070179875151</v>
      </c>
    </row>
    <row r="110" spans="1:11" s="22" customFormat="1" x14ac:dyDescent="0.35">
      <c r="A110" s="19">
        <v>97</v>
      </c>
      <c r="B110" s="19">
        <v>99368</v>
      </c>
      <c r="C110" s="20" t="s">
        <v>381</v>
      </c>
      <c r="D110" s="116">
        <f>'Schedule 4 Adjustments'!F109</f>
        <v>2</v>
      </c>
      <c r="E110" s="409">
        <v>1.04</v>
      </c>
      <c r="F110" s="47">
        <f t="shared" si="8"/>
        <v>2.08</v>
      </c>
      <c r="G110" s="21">
        <f t="shared" si="5"/>
        <v>96.980456169188486</v>
      </c>
      <c r="H110" s="150">
        <f>'Schedule 4 Adjustments'!N109</f>
        <v>34</v>
      </c>
      <c r="I110" s="409">
        <v>1.04</v>
      </c>
      <c r="J110" s="47">
        <f t="shared" si="7"/>
        <v>35.36</v>
      </c>
      <c r="K110" s="21">
        <f t="shared" si="6"/>
        <v>96.980456169188486</v>
      </c>
    </row>
    <row r="111" spans="1:11" s="22" customFormat="1" x14ac:dyDescent="0.35">
      <c r="A111" s="19">
        <v>98</v>
      </c>
      <c r="B111" s="19">
        <v>99441</v>
      </c>
      <c r="C111" s="20" t="s">
        <v>382</v>
      </c>
      <c r="D111" s="116">
        <f>'Schedule 4 Adjustments'!F110</f>
        <v>0</v>
      </c>
      <c r="E111" s="409">
        <v>1.69</v>
      </c>
      <c r="F111" s="47">
        <f t="shared" si="8"/>
        <v>0</v>
      </c>
      <c r="G111" s="21">
        <f t="shared" si="5"/>
        <v>157.59324127493127</v>
      </c>
      <c r="H111" s="150">
        <f>'Schedule 4 Adjustments'!N110</f>
        <v>0</v>
      </c>
      <c r="I111" s="409">
        <v>1.04</v>
      </c>
      <c r="J111" s="47">
        <f t="shared" si="7"/>
        <v>0</v>
      </c>
      <c r="K111" s="21">
        <f t="shared" si="6"/>
        <v>96.980456169188486</v>
      </c>
    </row>
    <row r="112" spans="1:11" s="22" customFormat="1" x14ac:dyDescent="0.35">
      <c r="A112" s="19">
        <v>99</v>
      </c>
      <c r="B112" s="19">
        <v>99442</v>
      </c>
      <c r="C112" s="20" t="s">
        <v>383</v>
      </c>
      <c r="D112" s="116">
        <f>'Schedule 4 Adjustments'!F111</f>
        <v>0</v>
      </c>
      <c r="E112" s="409">
        <v>2.72</v>
      </c>
      <c r="F112" s="47">
        <f t="shared" si="8"/>
        <v>0</v>
      </c>
      <c r="G112" s="21">
        <f t="shared" si="5"/>
        <v>253.64119305787759</v>
      </c>
      <c r="H112" s="150">
        <f>'Schedule 4 Adjustments'!N111</f>
        <v>0</v>
      </c>
      <c r="I112" s="409">
        <v>1.95</v>
      </c>
      <c r="J112" s="47">
        <f t="shared" si="7"/>
        <v>0</v>
      </c>
      <c r="K112" s="21">
        <f t="shared" si="6"/>
        <v>181.83835531722841</v>
      </c>
    </row>
    <row r="113" spans="1:11" s="22" customFormat="1" x14ac:dyDescent="0.35">
      <c r="A113" s="19">
        <v>100</v>
      </c>
      <c r="B113" s="19">
        <v>99443</v>
      </c>
      <c r="C113" s="20" t="s">
        <v>384</v>
      </c>
      <c r="D113" s="116">
        <f>'Schedule 4 Adjustments'!F112</f>
        <v>0</v>
      </c>
      <c r="E113" s="409">
        <v>3.85</v>
      </c>
      <c r="F113" s="47">
        <f t="shared" si="8"/>
        <v>0</v>
      </c>
      <c r="G113" s="21">
        <f t="shared" si="5"/>
        <v>359.01418870324585</v>
      </c>
      <c r="H113" s="150">
        <f>'Schedule 4 Adjustments'!N112</f>
        <v>0</v>
      </c>
      <c r="I113" s="409">
        <v>2.89</v>
      </c>
      <c r="J113" s="47">
        <f t="shared" si="7"/>
        <v>0</v>
      </c>
      <c r="K113" s="21">
        <f t="shared" si="6"/>
        <v>269.49376762399493</v>
      </c>
    </row>
    <row r="114" spans="1:11" s="22" customFormat="1" ht="34.5" customHeight="1" x14ac:dyDescent="0.35">
      <c r="A114" s="19">
        <v>101</v>
      </c>
      <c r="B114" s="19" t="s">
        <v>42</v>
      </c>
      <c r="C114" s="20" t="s">
        <v>385</v>
      </c>
      <c r="D114" s="116">
        <f>'Schedule 4 Adjustments'!F113</f>
        <v>0</v>
      </c>
      <c r="E114" s="409">
        <v>1.27</v>
      </c>
      <c r="F114" s="47">
        <f t="shared" si="8"/>
        <v>0</v>
      </c>
      <c r="G114" s="21">
        <f t="shared" si="5"/>
        <v>118.42805705275902</v>
      </c>
      <c r="H114" s="150">
        <f>'Schedule 4 Adjustments'!N113</f>
        <v>0</v>
      </c>
      <c r="I114" s="409">
        <v>1.1100000000000001</v>
      </c>
      <c r="J114" s="47">
        <f t="shared" si="7"/>
        <v>0</v>
      </c>
      <c r="K114" s="21">
        <f t="shared" si="6"/>
        <v>103.50798687288388</v>
      </c>
    </row>
    <row r="115" spans="1:11" s="22" customFormat="1" ht="29" x14ac:dyDescent="0.35">
      <c r="A115" s="19">
        <v>102</v>
      </c>
      <c r="B115" s="19" t="s">
        <v>43</v>
      </c>
      <c r="C115" s="20" t="s">
        <v>386</v>
      </c>
      <c r="D115" s="116">
        <f>'Schedule 4 Adjustments'!F114</f>
        <v>0</v>
      </c>
      <c r="E115" s="409">
        <v>0.75</v>
      </c>
      <c r="F115" s="47">
        <f t="shared" si="8"/>
        <v>0</v>
      </c>
      <c r="G115" s="21">
        <f t="shared" si="5"/>
        <v>69.93782896816478</v>
      </c>
      <c r="H115" s="150">
        <f>'Schedule 4 Adjustments'!N114</f>
        <v>0</v>
      </c>
      <c r="I115" s="409">
        <v>0.37</v>
      </c>
      <c r="J115" s="47">
        <f t="shared" si="7"/>
        <v>0</v>
      </c>
      <c r="K115" s="21">
        <f t="shared" si="6"/>
        <v>34.50266229096129</v>
      </c>
    </row>
    <row r="116" spans="1:11" s="22" customFormat="1" x14ac:dyDescent="0.35">
      <c r="A116" s="19">
        <v>103</v>
      </c>
      <c r="B116" s="19" t="s">
        <v>44</v>
      </c>
      <c r="C116" s="20" t="s">
        <v>129</v>
      </c>
      <c r="D116" s="116">
        <f>'Schedule 4 Adjustments'!F115</f>
        <v>0</v>
      </c>
      <c r="E116" s="409">
        <v>5.17</v>
      </c>
      <c r="F116" s="47">
        <f t="shared" si="8"/>
        <v>0</v>
      </c>
      <c r="G116" s="21">
        <f t="shared" si="5"/>
        <v>482.10476768721583</v>
      </c>
      <c r="H116" s="150">
        <f>'Schedule 4 Adjustments'!N115</f>
        <v>610</v>
      </c>
      <c r="I116" s="409">
        <v>4.43</v>
      </c>
      <c r="J116" s="47">
        <f t="shared" si="7"/>
        <v>2702.2999999999997</v>
      </c>
      <c r="K116" s="21">
        <f t="shared" si="6"/>
        <v>413.09944310529323</v>
      </c>
    </row>
    <row r="117" spans="1:11" s="22" customFormat="1" x14ac:dyDescent="0.35">
      <c r="A117" s="19">
        <v>104</v>
      </c>
      <c r="B117" s="19" t="s">
        <v>45</v>
      </c>
      <c r="C117" s="20" t="s">
        <v>387</v>
      </c>
      <c r="D117" s="116">
        <f>'Schedule 4 Adjustments'!F116</f>
        <v>201</v>
      </c>
      <c r="E117" s="409">
        <v>0.72</v>
      </c>
      <c r="F117" s="47">
        <f t="shared" si="8"/>
        <v>144.72</v>
      </c>
      <c r="G117" s="21">
        <f t="shared" si="5"/>
        <v>67.140315809438178</v>
      </c>
      <c r="H117" s="150">
        <f>'Schedule 4 Adjustments'!N116</f>
        <v>2943</v>
      </c>
      <c r="I117" s="409">
        <v>0.66</v>
      </c>
      <c r="J117" s="47">
        <f t="shared" si="7"/>
        <v>1942.38</v>
      </c>
      <c r="K117" s="21">
        <f t="shared" si="6"/>
        <v>61.545289491985002</v>
      </c>
    </row>
    <row r="118" spans="1:11" s="22" customFormat="1" ht="29" x14ac:dyDescent="0.35">
      <c r="A118" s="19">
        <v>105</v>
      </c>
      <c r="B118" s="19" t="s">
        <v>19</v>
      </c>
      <c r="C118" s="20" t="s">
        <v>39</v>
      </c>
      <c r="D118" s="116">
        <f>'Schedule 4 Adjustments'!F117</f>
        <v>0</v>
      </c>
      <c r="E118" s="409">
        <v>0</v>
      </c>
      <c r="F118" s="47">
        <f t="shared" si="8"/>
        <v>0</v>
      </c>
      <c r="G118" s="21">
        <f t="shared" si="5"/>
        <v>0</v>
      </c>
      <c r="H118" s="150">
        <f>'Schedule 4 Adjustments'!N117</f>
        <v>0</v>
      </c>
      <c r="I118" s="409">
        <v>0</v>
      </c>
      <c r="J118" s="47">
        <f t="shared" si="7"/>
        <v>0</v>
      </c>
      <c r="K118" s="21">
        <f t="shared" si="6"/>
        <v>0</v>
      </c>
    </row>
    <row r="119" spans="1:11" s="22" customFormat="1" x14ac:dyDescent="0.35">
      <c r="A119" s="19">
        <v>106</v>
      </c>
      <c r="B119" s="19" t="s">
        <v>46</v>
      </c>
      <c r="C119" s="20" t="s">
        <v>130</v>
      </c>
      <c r="D119" s="116">
        <f>'Schedule 4 Adjustments'!F118</f>
        <v>0</v>
      </c>
      <c r="E119" s="409">
        <v>1.18</v>
      </c>
      <c r="F119" s="47">
        <f t="shared" si="8"/>
        <v>0</v>
      </c>
      <c r="G119" s="21">
        <f t="shared" si="5"/>
        <v>110.03551757657924</v>
      </c>
      <c r="H119" s="150">
        <f>'Schedule 4 Adjustments'!N118</f>
        <v>4625</v>
      </c>
      <c r="I119" s="409">
        <v>1.03</v>
      </c>
      <c r="J119" s="47">
        <f t="shared" si="7"/>
        <v>4763.75</v>
      </c>
      <c r="K119" s="21">
        <f t="shared" si="6"/>
        <v>96.047951782946285</v>
      </c>
    </row>
    <row r="120" spans="1:11" s="22" customFormat="1" x14ac:dyDescent="0.35">
      <c r="A120" s="19">
        <v>107</v>
      </c>
      <c r="B120" s="19" t="s">
        <v>47</v>
      </c>
      <c r="C120" s="20" t="s">
        <v>131</v>
      </c>
      <c r="D120" s="116">
        <f>'Schedule 4 Adjustments'!F119</f>
        <v>0</v>
      </c>
      <c r="E120" s="409">
        <v>0.83</v>
      </c>
      <c r="F120" s="47">
        <f t="shared" si="8"/>
        <v>0</v>
      </c>
      <c r="G120" s="21">
        <f t="shared" si="5"/>
        <v>77.397864058102343</v>
      </c>
      <c r="H120" s="150">
        <f>'Schedule 4 Adjustments'!N119</f>
        <v>5617</v>
      </c>
      <c r="I120" s="409">
        <v>0.72</v>
      </c>
      <c r="J120" s="47">
        <f t="shared" si="7"/>
        <v>4044.24</v>
      </c>
      <c r="K120" s="21">
        <f t="shared" si="6"/>
        <v>67.140315809438178</v>
      </c>
    </row>
    <row r="121" spans="1:11" s="22" customFormat="1" x14ac:dyDescent="0.35">
      <c r="A121" s="19">
        <v>108</v>
      </c>
      <c r="B121" s="19" t="s">
        <v>48</v>
      </c>
      <c r="C121" s="20" t="s">
        <v>132</v>
      </c>
      <c r="D121" s="116">
        <f>'Schedule 4 Adjustments'!F120</f>
        <v>3</v>
      </c>
      <c r="E121" s="409">
        <v>0.64</v>
      </c>
      <c r="F121" s="47">
        <f t="shared" si="8"/>
        <v>1.92</v>
      </c>
      <c r="G121" s="21">
        <f t="shared" si="5"/>
        <v>59.680280719500608</v>
      </c>
      <c r="H121" s="150">
        <f>'Schedule 4 Adjustments'!N120</f>
        <v>358</v>
      </c>
      <c r="I121" s="409">
        <v>0.6</v>
      </c>
      <c r="J121" s="47">
        <f t="shared" si="7"/>
        <v>214.79999999999998</v>
      </c>
      <c r="K121" s="21">
        <f t="shared" si="6"/>
        <v>55.95026317453182</v>
      </c>
    </row>
    <row r="122" spans="1:11" s="22" customFormat="1" x14ac:dyDescent="0.35">
      <c r="A122" s="19">
        <v>109</v>
      </c>
      <c r="B122" s="19" t="s">
        <v>21</v>
      </c>
      <c r="C122" s="20" t="s">
        <v>24</v>
      </c>
      <c r="D122" s="116">
        <f>'Schedule 4 Adjustments'!F121</f>
        <v>0</v>
      </c>
      <c r="E122" s="409">
        <v>0</v>
      </c>
      <c r="F122" s="47">
        <f t="shared" si="8"/>
        <v>0</v>
      </c>
      <c r="G122" s="21">
        <f t="shared" si="5"/>
        <v>0</v>
      </c>
      <c r="H122" s="150">
        <f>'Schedule 4 Adjustments'!N121</f>
        <v>0</v>
      </c>
      <c r="I122" s="409">
        <v>0</v>
      </c>
      <c r="J122" s="47">
        <f t="shared" si="7"/>
        <v>0</v>
      </c>
      <c r="K122" s="21">
        <f t="shared" si="6"/>
        <v>0</v>
      </c>
    </row>
    <row r="123" spans="1:11" s="22" customFormat="1" ht="29" x14ac:dyDescent="0.35">
      <c r="A123" s="19">
        <v>110</v>
      </c>
      <c r="B123" s="19" t="s">
        <v>49</v>
      </c>
      <c r="C123" s="20" t="s">
        <v>388</v>
      </c>
      <c r="D123" s="116">
        <f>'Schedule 4 Adjustments'!F122</f>
        <v>0</v>
      </c>
      <c r="E123" s="409">
        <v>0</v>
      </c>
      <c r="F123" s="47">
        <f t="shared" si="8"/>
        <v>0</v>
      </c>
      <c r="G123" s="21">
        <f t="shared" si="5"/>
        <v>0</v>
      </c>
      <c r="H123" s="150">
        <f>'Schedule 4 Adjustments'!N122</f>
        <v>0</v>
      </c>
      <c r="I123" s="409">
        <v>0</v>
      </c>
      <c r="J123" s="47">
        <f t="shared" si="7"/>
        <v>0</v>
      </c>
      <c r="K123" s="21">
        <f t="shared" si="6"/>
        <v>0</v>
      </c>
    </row>
    <row r="124" spans="1:11" s="22" customFormat="1" ht="29" x14ac:dyDescent="0.35">
      <c r="A124" s="19">
        <v>111</v>
      </c>
      <c r="B124" s="19" t="s">
        <v>33</v>
      </c>
      <c r="C124" s="20" t="s">
        <v>389</v>
      </c>
      <c r="D124" s="116">
        <f>'Schedule 4 Adjustments'!F123</f>
        <v>0</v>
      </c>
      <c r="E124" s="409">
        <v>0</v>
      </c>
      <c r="F124" s="47">
        <f t="shared" si="8"/>
        <v>0</v>
      </c>
      <c r="G124" s="21">
        <f t="shared" si="5"/>
        <v>0</v>
      </c>
      <c r="H124" s="150">
        <f>'Schedule 4 Adjustments'!N123</f>
        <v>0</v>
      </c>
      <c r="I124" s="409">
        <v>0</v>
      </c>
      <c r="J124" s="47">
        <f t="shared" si="7"/>
        <v>0</v>
      </c>
      <c r="K124" s="21">
        <f t="shared" si="6"/>
        <v>0</v>
      </c>
    </row>
    <row r="125" spans="1:11" s="22" customFormat="1" x14ac:dyDescent="0.35">
      <c r="A125" s="19">
        <v>112</v>
      </c>
      <c r="B125" s="19" t="s">
        <v>50</v>
      </c>
      <c r="C125" s="20" t="s">
        <v>390</v>
      </c>
      <c r="D125" s="116">
        <f>'Schedule 4 Adjustments'!F124</f>
        <v>0</v>
      </c>
      <c r="E125" s="409">
        <v>2.64</v>
      </c>
      <c r="F125" s="47">
        <f t="shared" si="8"/>
        <v>0</v>
      </c>
      <c r="G125" s="21">
        <f t="shared" si="5"/>
        <v>246.18115796794001</v>
      </c>
      <c r="H125" s="150">
        <f>'Schedule 4 Adjustments'!N124</f>
        <v>974</v>
      </c>
      <c r="I125" s="409">
        <v>2.64</v>
      </c>
      <c r="J125" s="47">
        <f t="shared" si="7"/>
        <v>2571.36</v>
      </c>
      <c r="K125" s="21">
        <f t="shared" si="6"/>
        <v>246.18115796794001</v>
      </c>
    </row>
    <row r="126" spans="1:11" s="22" customFormat="1" x14ac:dyDescent="0.35">
      <c r="A126" s="19">
        <v>113</v>
      </c>
      <c r="B126" s="19" t="s">
        <v>51</v>
      </c>
      <c r="C126" s="20" t="s">
        <v>133</v>
      </c>
      <c r="D126" s="116">
        <f>'Schedule 4 Adjustments'!F125</f>
        <v>0</v>
      </c>
      <c r="E126" s="409">
        <v>0</v>
      </c>
      <c r="F126" s="47">
        <f t="shared" si="8"/>
        <v>0</v>
      </c>
      <c r="G126" s="21">
        <f t="shared" si="5"/>
        <v>0</v>
      </c>
      <c r="H126" s="150">
        <f>'Schedule 4 Adjustments'!N125</f>
        <v>3151</v>
      </c>
      <c r="I126" s="409">
        <v>0</v>
      </c>
      <c r="J126" s="47">
        <f t="shared" si="7"/>
        <v>0</v>
      </c>
      <c r="K126" s="21">
        <f t="shared" si="6"/>
        <v>0</v>
      </c>
    </row>
    <row r="127" spans="1:11" s="22" customFormat="1" x14ac:dyDescent="0.35">
      <c r="A127" s="19">
        <v>114</v>
      </c>
      <c r="B127" s="19" t="s">
        <v>52</v>
      </c>
      <c r="C127" s="20" t="s">
        <v>134</v>
      </c>
      <c r="D127" s="116">
        <f>'Schedule 4 Adjustments'!F126</f>
        <v>0</v>
      </c>
      <c r="E127" s="409">
        <v>0</v>
      </c>
      <c r="F127" s="47">
        <f t="shared" si="8"/>
        <v>0</v>
      </c>
      <c r="G127" s="21">
        <f t="shared" si="5"/>
        <v>0</v>
      </c>
      <c r="H127" s="150">
        <f>'Schedule 4 Adjustments'!N126</f>
        <v>0</v>
      </c>
      <c r="I127" s="409">
        <v>0</v>
      </c>
      <c r="J127" s="47">
        <f t="shared" si="7"/>
        <v>0</v>
      </c>
      <c r="K127" s="21">
        <f t="shared" si="6"/>
        <v>0</v>
      </c>
    </row>
    <row r="128" spans="1:11" s="22" customFormat="1" x14ac:dyDescent="0.35">
      <c r="A128" s="19">
        <v>115</v>
      </c>
      <c r="B128" s="19" t="s">
        <v>53</v>
      </c>
      <c r="C128" s="20" t="s">
        <v>135</v>
      </c>
      <c r="D128" s="116">
        <f>'Schedule 4 Adjustments'!F127</f>
        <v>0</v>
      </c>
      <c r="E128" s="409">
        <v>0</v>
      </c>
      <c r="F128" s="47">
        <f t="shared" si="8"/>
        <v>0</v>
      </c>
      <c r="G128" s="21">
        <f t="shared" si="5"/>
        <v>0</v>
      </c>
      <c r="H128" s="150">
        <f>'Schedule 4 Adjustments'!N127</f>
        <v>0</v>
      </c>
      <c r="I128" s="409">
        <v>0</v>
      </c>
      <c r="J128" s="47">
        <f t="shared" si="7"/>
        <v>0</v>
      </c>
      <c r="K128" s="21">
        <f t="shared" si="6"/>
        <v>0</v>
      </c>
    </row>
    <row r="129" spans="1:11" s="22" customFormat="1" ht="29" x14ac:dyDescent="0.35">
      <c r="A129" s="19">
        <v>116</v>
      </c>
      <c r="B129" s="19" t="s">
        <v>54</v>
      </c>
      <c r="C129" s="20" t="s">
        <v>391</v>
      </c>
      <c r="D129" s="116">
        <f>'Schedule 4 Adjustments'!F128</f>
        <v>0</v>
      </c>
      <c r="E129" s="409">
        <v>1.02</v>
      </c>
      <c r="F129" s="47">
        <f t="shared" si="8"/>
        <v>0</v>
      </c>
      <c r="G129" s="21">
        <f t="shared" si="5"/>
        <v>95.115447396704099</v>
      </c>
      <c r="H129" s="150">
        <f>'Schedule 4 Adjustments'!N128</f>
        <v>0</v>
      </c>
      <c r="I129" s="409">
        <v>0.94</v>
      </c>
      <c r="J129" s="47">
        <f t="shared" si="7"/>
        <v>0</v>
      </c>
      <c r="K129" s="21">
        <f t="shared" si="6"/>
        <v>87.655412306766507</v>
      </c>
    </row>
    <row r="130" spans="1:11" s="22" customFormat="1" x14ac:dyDescent="0.35">
      <c r="A130" s="19">
        <v>117</v>
      </c>
      <c r="B130" s="19" t="s">
        <v>22</v>
      </c>
      <c r="C130" s="20" t="s">
        <v>25</v>
      </c>
      <c r="D130" s="116">
        <f>'Schedule 4 Adjustments'!F129</f>
        <v>0</v>
      </c>
      <c r="E130" s="409">
        <v>0</v>
      </c>
      <c r="F130" s="47">
        <f t="shared" si="8"/>
        <v>0</v>
      </c>
      <c r="G130" s="21">
        <f t="shared" si="5"/>
        <v>0</v>
      </c>
      <c r="H130" s="150">
        <f>'Schedule 4 Adjustments'!N129</f>
        <v>0</v>
      </c>
      <c r="I130" s="409">
        <v>0</v>
      </c>
      <c r="J130" s="47">
        <f t="shared" si="7"/>
        <v>0</v>
      </c>
      <c r="K130" s="21">
        <f t="shared" si="6"/>
        <v>0</v>
      </c>
    </row>
    <row r="131" spans="1:11" s="22" customFormat="1" x14ac:dyDescent="0.35">
      <c r="A131" s="19">
        <v>118</v>
      </c>
      <c r="B131" s="19" t="s">
        <v>55</v>
      </c>
      <c r="C131" s="20" t="s">
        <v>392</v>
      </c>
      <c r="D131" s="116">
        <f>'Schedule 4 Adjustments'!F130</f>
        <v>0</v>
      </c>
      <c r="E131" s="409">
        <v>0.12</v>
      </c>
      <c r="F131" s="47">
        <f t="shared" si="8"/>
        <v>0</v>
      </c>
      <c r="G131" s="21">
        <f t="shared" si="5"/>
        <v>11.190052634906364</v>
      </c>
      <c r="H131" s="150">
        <f>'Schedule 4 Adjustments'!N130</f>
        <v>0</v>
      </c>
      <c r="I131" s="409">
        <v>0.09</v>
      </c>
      <c r="J131" s="47">
        <f t="shared" si="7"/>
        <v>0</v>
      </c>
      <c r="K131" s="21">
        <f t="shared" si="6"/>
        <v>8.3925394761797723</v>
      </c>
    </row>
    <row r="132" spans="1:11" s="22" customFormat="1" x14ac:dyDescent="0.35">
      <c r="A132" s="19">
        <v>119</v>
      </c>
      <c r="B132" s="19" t="s">
        <v>56</v>
      </c>
      <c r="C132" s="20" t="s">
        <v>393</v>
      </c>
      <c r="D132" s="116">
        <f>'Schedule 4 Adjustments'!F131</f>
        <v>2392</v>
      </c>
      <c r="E132" s="409">
        <v>0.59</v>
      </c>
      <c r="F132" s="47">
        <f t="shared" si="8"/>
        <v>1411.28</v>
      </c>
      <c r="G132" s="21">
        <f t="shared" si="5"/>
        <v>55.017758788289619</v>
      </c>
      <c r="H132" s="150">
        <f>'Schedule 4 Adjustments'!N131</f>
        <v>4038</v>
      </c>
      <c r="I132" s="409">
        <v>0.55000000000000004</v>
      </c>
      <c r="J132" s="47">
        <f t="shared" si="7"/>
        <v>2220.9</v>
      </c>
      <c r="K132" s="21">
        <f t="shared" si="6"/>
        <v>51.287741243320838</v>
      </c>
    </row>
    <row r="133" spans="1:11" s="22" customFormat="1" ht="29" x14ac:dyDescent="0.35">
      <c r="A133" s="19">
        <v>120</v>
      </c>
      <c r="B133" s="19" t="s">
        <v>57</v>
      </c>
      <c r="C133" s="20" t="s">
        <v>136</v>
      </c>
      <c r="D133" s="116">
        <f>'Schedule 4 Adjustments'!F132</f>
        <v>0</v>
      </c>
      <c r="E133" s="409">
        <v>0.75</v>
      </c>
      <c r="F133" s="47">
        <f t="shared" si="8"/>
        <v>0</v>
      </c>
      <c r="G133" s="21">
        <f t="shared" si="5"/>
        <v>69.93782896816478</v>
      </c>
      <c r="H133" s="150">
        <f>'Schedule 4 Adjustments'!N132</f>
        <v>0</v>
      </c>
      <c r="I133" s="409">
        <v>0.37</v>
      </c>
      <c r="J133" s="47">
        <f t="shared" si="7"/>
        <v>0</v>
      </c>
      <c r="K133" s="21">
        <f t="shared" si="6"/>
        <v>34.50266229096129</v>
      </c>
    </row>
    <row r="134" spans="1:11" s="22" customFormat="1" ht="29" x14ac:dyDescent="0.35">
      <c r="A134" s="19">
        <v>121</v>
      </c>
      <c r="B134" s="19" t="s">
        <v>58</v>
      </c>
      <c r="C134" s="20" t="s">
        <v>137</v>
      </c>
      <c r="D134" s="116">
        <f>'Schedule 4 Adjustments'!F133</f>
        <v>18214</v>
      </c>
      <c r="E134" s="409">
        <v>0.75</v>
      </c>
      <c r="F134" s="47">
        <f t="shared" si="8"/>
        <v>13660.5</v>
      </c>
      <c r="G134" s="21">
        <f t="shared" si="5"/>
        <v>69.93782896816478</v>
      </c>
      <c r="H134" s="150">
        <f>'Schedule 4 Adjustments'!N133</f>
        <v>232</v>
      </c>
      <c r="I134" s="409">
        <v>0.37</v>
      </c>
      <c r="J134" s="47">
        <f t="shared" si="7"/>
        <v>85.84</v>
      </c>
      <c r="K134" s="21">
        <f t="shared" si="6"/>
        <v>34.50266229096129</v>
      </c>
    </row>
    <row r="135" spans="1:11" s="22" customFormat="1" ht="43.5" x14ac:dyDescent="0.35">
      <c r="A135" s="19">
        <v>122</v>
      </c>
      <c r="B135" s="19" t="s">
        <v>15</v>
      </c>
      <c r="C135" s="20" t="s">
        <v>18</v>
      </c>
      <c r="D135" s="116">
        <f>'Schedule 4 Adjustments'!F134</f>
        <v>0</v>
      </c>
      <c r="E135" s="409">
        <v>0</v>
      </c>
      <c r="F135" s="47">
        <f t="shared" si="8"/>
        <v>0</v>
      </c>
      <c r="G135" s="21">
        <f t="shared" si="5"/>
        <v>0</v>
      </c>
      <c r="H135" s="150">
        <f>'Schedule 4 Adjustments'!N134</f>
        <v>0</v>
      </c>
      <c r="I135" s="409">
        <v>0</v>
      </c>
      <c r="J135" s="47">
        <f t="shared" si="7"/>
        <v>0</v>
      </c>
      <c r="K135" s="21">
        <f t="shared" si="6"/>
        <v>0</v>
      </c>
    </row>
    <row r="136" spans="1:11" s="22" customFormat="1" ht="29" x14ac:dyDescent="0.35">
      <c r="A136" s="19">
        <v>123</v>
      </c>
      <c r="B136" s="19" t="s">
        <v>16</v>
      </c>
      <c r="C136" s="20" t="s">
        <v>138</v>
      </c>
      <c r="D136" s="116">
        <f>'Schedule 4 Adjustments'!F135</f>
        <v>0</v>
      </c>
      <c r="E136" s="409">
        <v>0</v>
      </c>
      <c r="F136" s="47">
        <f t="shared" si="8"/>
        <v>0</v>
      </c>
      <c r="G136" s="21">
        <f t="shared" si="5"/>
        <v>0</v>
      </c>
      <c r="H136" s="150">
        <f>'Schedule 4 Adjustments'!N135</f>
        <v>0</v>
      </c>
      <c r="I136" s="409">
        <v>0</v>
      </c>
      <c r="J136" s="47">
        <f t="shared" si="7"/>
        <v>0</v>
      </c>
      <c r="K136" s="21">
        <f t="shared" si="6"/>
        <v>0</v>
      </c>
    </row>
    <row r="137" spans="1:11" s="22" customFormat="1" ht="29" x14ac:dyDescent="0.35">
      <c r="A137" s="19">
        <v>124</v>
      </c>
      <c r="B137" s="19" t="s">
        <v>17</v>
      </c>
      <c r="C137" s="20" t="s">
        <v>139</v>
      </c>
      <c r="D137" s="116">
        <f>'Schedule 4 Adjustments'!F136</f>
        <v>0</v>
      </c>
      <c r="E137" s="409">
        <v>0</v>
      </c>
      <c r="F137" s="47">
        <f t="shared" si="8"/>
        <v>0</v>
      </c>
      <c r="G137" s="21">
        <f t="shared" si="5"/>
        <v>0</v>
      </c>
      <c r="H137" s="150">
        <f>'Schedule 4 Adjustments'!N136</f>
        <v>0</v>
      </c>
      <c r="I137" s="409">
        <v>0</v>
      </c>
      <c r="J137" s="47">
        <f t="shared" si="7"/>
        <v>0</v>
      </c>
      <c r="K137" s="21">
        <f t="shared" si="6"/>
        <v>0</v>
      </c>
    </row>
    <row r="138" spans="1:11" s="22" customFormat="1" x14ac:dyDescent="0.35">
      <c r="A138" s="19">
        <v>125</v>
      </c>
      <c r="B138" s="19" t="s">
        <v>23</v>
      </c>
      <c r="C138" s="20" t="s">
        <v>140</v>
      </c>
      <c r="D138" s="116">
        <f>'Schedule 4 Adjustments'!F137</f>
        <v>0</v>
      </c>
      <c r="E138" s="409">
        <v>0</v>
      </c>
      <c r="F138" s="47">
        <f t="shared" si="8"/>
        <v>0</v>
      </c>
      <c r="G138" s="21">
        <f t="shared" si="5"/>
        <v>0</v>
      </c>
      <c r="H138" s="150">
        <f>'Schedule 4 Adjustments'!N137</f>
        <v>0</v>
      </c>
      <c r="I138" s="409">
        <v>0</v>
      </c>
      <c r="J138" s="47">
        <f t="shared" si="7"/>
        <v>0</v>
      </c>
      <c r="K138" s="21">
        <f t="shared" si="6"/>
        <v>0</v>
      </c>
    </row>
    <row r="139" spans="1:11" s="22" customFormat="1" x14ac:dyDescent="0.35">
      <c r="A139" s="19">
        <v>126</v>
      </c>
      <c r="B139" s="19" t="s">
        <v>59</v>
      </c>
      <c r="C139" s="20" t="s">
        <v>395</v>
      </c>
      <c r="D139" s="116">
        <f>'Schedule 4 Adjustments'!F138</f>
        <v>0</v>
      </c>
      <c r="E139" s="409">
        <v>3.27</v>
      </c>
      <c r="F139" s="47">
        <f t="shared" si="8"/>
        <v>0</v>
      </c>
      <c r="G139" s="21">
        <f t="shared" si="5"/>
        <v>304.92893430119841</v>
      </c>
      <c r="H139" s="150">
        <f>'Schedule 4 Adjustments'!N138</f>
        <v>532</v>
      </c>
      <c r="I139" s="409">
        <v>2.17</v>
      </c>
      <c r="J139" s="47">
        <f t="shared" si="7"/>
        <v>1154.44</v>
      </c>
      <c r="K139" s="21">
        <f t="shared" si="6"/>
        <v>202.35345181455673</v>
      </c>
    </row>
    <row r="140" spans="1:11" s="22" customFormat="1" x14ac:dyDescent="0.35">
      <c r="A140" s="19">
        <v>127</v>
      </c>
      <c r="B140" s="19" t="s">
        <v>60</v>
      </c>
      <c r="C140" s="20" t="s">
        <v>394</v>
      </c>
      <c r="D140" s="116">
        <f>'Schedule 4 Adjustments'!F139</f>
        <v>98</v>
      </c>
      <c r="E140" s="409">
        <v>1.1499999999999999</v>
      </c>
      <c r="F140" s="47">
        <f t="shared" si="8"/>
        <v>112.69999999999999</v>
      </c>
      <c r="G140" s="21">
        <f t="shared" si="5"/>
        <v>107.23800441785265</v>
      </c>
      <c r="H140" s="150">
        <f>'Schedule 4 Adjustments'!N139</f>
        <v>1861</v>
      </c>
      <c r="I140" s="409">
        <v>0.7</v>
      </c>
      <c r="J140" s="47">
        <f t="shared" si="7"/>
        <v>1302.6999999999998</v>
      </c>
      <c r="K140" s="21">
        <f t="shared" si="6"/>
        <v>65.275307036953791</v>
      </c>
    </row>
    <row r="141" spans="1:11" s="22" customFormat="1" x14ac:dyDescent="0.35">
      <c r="A141" s="19">
        <v>128</v>
      </c>
      <c r="B141" s="19" t="s">
        <v>61</v>
      </c>
      <c r="C141" s="20" t="s">
        <v>141</v>
      </c>
      <c r="D141" s="116">
        <f>'Schedule 4 Adjustments'!F140</f>
        <v>0</v>
      </c>
      <c r="E141" s="409">
        <v>0.44</v>
      </c>
      <c r="F141" s="47">
        <f t="shared" si="8"/>
        <v>0</v>
      </c>
      <c r="G141" s="21">
        <f t="shared" si="5"/>
        <v>41.030192994656666</v>
      </c>
      <c r="H141" s="150">
        <f>'Schedule 4 Adjustments'!N140</f>
        <v>0</v>
      </c>
      <c r="I141" s="409">
        <v>0.44</v>
      </c>
      <c r="J141" s="47">
        <f t="shared" si="7"/>
        <v>0</v>
      </c>
      <c r="K141" s="21">
        <f t="shared" si="6"/>
        <v>41.030192994656666</v>
      </c>
    </row>
    <row r="142" spans="1:11" s="22" customFormat="1" x14ac:dyDescent="0.35">
      <c r="A142" s="19">
        <v>129</v>
      </c>
      <c r="B142" s="19" t="s">
        <v>62</v>
      </c>
      <c r="C142" s="20" t="s">
        <v>396</v>
      </c>
      <c r="D142" s="116">
        <f>'Schedule 4 Adjustments'!F141</f>
        <v>1208</v>
      </c>
      <c r="E142" s="409">
        <v>0.92</v>
      </c>
      <c r="F142" s="47">
        <f t="shared" si="8"/>
        <v>1111.3600000000001</v>
      </c>
      <c r="G142" s="21">
        <f t="shared" si="5"/>
        <v>85.79040353428212</v>
      </c>
      <c r="H142" s="150">
        <f>'Schedule 4 Adjustments'!N141</f>
        <v>3908</v>
      </c>
      <c r="I142" s="409">
        <v>0.92</v>
      </c>
      <c r="J142" s="47">
        <f t="shared" si="7"/>
        <v>3595.36</v>
      </c>
      <c r="K142" s="21">
        <f t="shared" si="6"/>
        <v>85.79040353428212</v>
      </c>
    </row>
    <row r="143" spans="1:11" s="22" customFormat="1" x14ac:dyDescent="0.35">
      <c r="A143" s="19">
        <v>130</v>
      </c>
      <c r="B143" s="19" t="s">
        <v>63</v>
      </c>
      <c r="C143" s="20" t="s">
        <v>397</v>
      </c>
      <c r="D143" s="116">
        <f>'Schedule 4 Adjustments'!F142</f>
        <v>0</v>
      </c>
      <c r="E143" s="409">
        <v>5.28</v>
      </c>
      <c r="F143" s="47">
        <f t="shared" si="8"/>
        <v>0</v>
      </c>
      <c r="G143" s="21">
        <f t="shared" si="5"/>
        <v>492.36231593588002</v>
      </c>
      <c r="H143" s="150">
        <f>'Schedule 4 Adjustments'!N142</f>
        <v>0</v>
      </c>
      <c r="I143" s="409">
        <v>5.28</v>
      </c>
      <c r="J143" s="47">
        <f t="shared" si="7"/>
        <v>0</v>
      </c>
      <c r="K143" s="21">
        <f t="shared" si="6"/>
        <v>492.36231593588002</v>
      </c>
    </row>
    <row r="144" spans="1:11" s="22" customFormat="1" x14ac:dyDescent="0.35">
      <c r="A144" s="19">
        <v>131</v>
      </c>
      <c r="B144" s="19" t="s">
        <v>64</v>
      </c>
      <c r="C144" s="20" t="s">
        <v>399</v>
      </c>
      <c r="D144" s="116">
        <f>'Schedule 4 Adjustments'!F143</f>
        <v>0</v>
      </c>
      <c r="E144" s="409">
        <v>0.44</v>
      </c>
      <c r="F144" s="47">
        <f t="shared" si="8"/>
        <v>0</v>
      </c>
      <c r="G144" s="21">
        <f t="shared" si="5"/>
        <v>41.030192994656666</v>
      </c>
      <c r="H144" s="150">
        <f>'Schedule 4 Adjustments'!N143</f>
        <v>0</v>
      </c>
      <c r="I144" s="409">
        <v>0.44</v>
      </c>
      <c r="J144" s="47">
        <f t="shared" si="7"/>
        <v>0</v>
      </c>
      <c r="K144" s="21">
        <f t="shared" si="6"/>
        <v>41.030192994656666</v>
      </c>
    </row>
    <row r="145" spans="1:11" s="22" customFormat="1" x14ac:dyDescent="0.35">
      <c r="A145" s="19">
        <v>132</v>
      </c>
      <c r="B145" s="19" t="s">
        <v>65</v>
      </c>
      <c r="C145" s="20" t="s">
        <v>398</v>
      </c>
      <c r="D145" s="116">
        <f>'Schedule 4 Adjustments'!F144</f>
        <v>0</v>
      </c>
      <c r="E145" s="409">
        <v>5.28</v>
      </c>
      <c r="F145" s="47">
        <f t="shared" si="8"/>
        <v>0</v>
      </c>
      <c r="G145" s="21">
        <f t="shared" si="5"/>
        <v>492.36231593588002</v>
      </c>
      <c r="H145" s="150">
        <f>'Schedule 4 Adjustments'!N144</f>
        <v>0</v>
      </c>
      <c r="I145" s="409">
        <v>5.28</v>
      </c>
      <c r="J145" s="47">
        <f t="shared" si="7"/>
        <v>0</v>
      </c>
      <c r="K145" s="21">
        <f t="shared" si="6"/>
        <v>492.36231593588002</v>
      </c>
    </row>
    <row r="146" spans="1:11" s="22" customFormat="1" x14ac:dyDescent="0.35">
      <c r="A146" s="19">
        <v>133</v>
      </c>
      <c r="B146" s="19" t="s">
        <v>66</v>
      </c>
      <c r="C146" s="20" t="s">
        <v>142</v>
      </c>
      <c r="D146" s="116">
        <f>'Schedule 4 Adjustments'!F145</f>
        <v>1403</v>
      </c>
      <c r="E146" s="409">
        <v>0.54</v>
      </c>
      <c r="F146" s="47">
        <f t="shared" si="8"/>
        <v>757.62</v>
      </c>
      <c r="G146" s="21">
        <f t="shared" si="5"/>
        <v>50.355236857078637</v>
      </c>
      <c r="H146" s="150">
        <f>'Schedule 4 Adjustments'!N145</f>
        <v>3544</v>
      </c>
      <c r="I146" s="409">
        <v>0.54</v>
      </c>
      <c r="J146" s="47">
        <f t="shared" si="7"/>
        <v>1913.7600000000002</v>
      </c>
      <c r="K146" s="21">
        <f t="shared" si="6"/>
        <v>50.355236857078637</v>
      </c>
    </row>
    <row r="147" spans="1:11" s="22" customFormat="1" x14ac:dyDescent="0.35">
      <c r="A147" s="19">
        <v>134</v>
      </c>
      <c r="B147" s="19" t="s">
        <v>67</v>
      </c>
      <c r="C147" s="20" t="s">
        <v>400</v>
      </c>
      <c r="D147" s="116">
        <f>'Schedule 4 Adjustments'!F146</f>
        <v>3352</v>
      </c>
      <c r="E147" s="409">
        <v>1.29</v>
      </c>
      <c r="F147" s="47">
        <f t="shared" si="8"/>
        <v>4324.08</v>
      </c>
      <c r="G147" s="21">
        <f t="shared" ref="G147:G197" si="9">E147*$F$13</f>
        <v>120.29306582524342</v>
      </c>
      <c r="H147" s="150">
        <f>'Schedule 4 Adjustments'!N146</f>
        <v>23252</v>
      </c>
      <c r="I147" s="409">
        <v>1.1299999999999999</v>
      </c>
      <c r="J147" s="47">
        <f t="shared" si="7"/>
        <v>26274.76</v>
      </c>
      <c r="K147" s="21">
        <f t="shared" ref="K147:K197" si="10">I147*$F$13</f>
        <v>105.37299564536825</v>
      </c>
    </row>
    <row r="148" spans="1:11" s="22" customFormat="1" x14ac:dyDescent="0.35">
      <c r="A148" s="19">
        <v>135</v>
      </c>
      <c r="B148" s="19" t="s">
        <v>68</v>
      </c>
      <c r="C148" s="20" t="s">
        <v>401</v>
      </c>
      <c r="D148" s="116">
        <f>'Schedule 4 Adjustments'!F147</f>
        <v>0</v>
      </c>
      <c r="E148" s="409">
        <v>5.28</v>
      </c>
      <c r="F148" s="47">
        <f t="shared" si="8"/>
        <v>0</v>
      </c>
      <c r="G148" s="21">
        <f t="shared" si="9"/>
        <v>492.36231593588002</v>
      </c>
      <c r="H148" s="150">
        <f>'Schedule 4 Adjustments'!N147</f>
        <v>17</v>
      </c>
      <c r="I148" s="409">
        <v>5.28</v>
      </c>
      <c r="J148" s="47">
        <f t="shared" ref="J148:J197" si="11">H148*I148</f>
        <v>89.76</v>
      </c>
      <c r="K148" s="21">
        <f t="shared" si="10"/>
        <v>492.36231593588002</v>
      </c>
    </row>
    <row r="149" spans="1:11" s="22" customFormat="1" x14ac:dyDescent="0.35">
      <c r="A149" s="19">
        <v>136</v>
      </c>
      <c r="B149" s="19" t="s">
        <v>69</v>
      </c>
      <c r="C149" s="20" t="s">
        <v>402</v>
      </c>
      <c r="D149" s="116">
        <f>'Schedule 4 Adjustments'!F148</f>
        <v>0</v>
      </c>
      <c r="E149" s="409">
        <v>0.14000000000000001</v>
      </c>
      <c r="F149" s="47">
        <f t="shared" ref="F149:F197" si="12">D149*E149</f>
        <v>0</v>
      </c>
      <c r="G149" s="21">
        <f t="shared" si="9"/>
        <v>13.05506140739076</v>
      </c>
      <c r="H149" s="150">
        <f>'Schedule 4 Adjustments'!N148</f>
        <v>0</v>
      </c>
      <c r="I149" s="409">
        <v>0.12</v>
      </c>
      <c r="J149" s="47">
        <f t="shared" si="11"/>
        <v>0</v>
      </c>
      <c r="K149" s="21">
        <f t="shared" si="10"/>
        <v>11.190052634906364</v>
      </c>
    </row>
    <row r="150" spans="1:11" s="22" customFormat="1" x14ac:dyDescent="0.35">
      <c r="A150" s="19">
        <v>137</v>
      </c>
      <c r="B150" s="19" t="s">
        <v>70</v>
      </c>
      <c r="C150" s="20" t="s">
        <v>403</v>
      </c>
      <c r="D150" s="116">
        <f>'Schedule 4 Adjustments'!F149</f>
        <v>0</v>
      </c>
      <c r="E150" s="409">
        <v>3.08</v>
      </c>
      <c r="F150" s="47">
        <f t="shared" si="12"/>
        <v>0</v>
      </c>
      <c r="G150" s="21">
        <f t="shared" si="9"/>
        <v>287.21135096259667</v>
      </c>
      <c r="H150" s="150">
        <f>'Schedule 4 Adjustments'!N149</f>
        <v>0</v>
      </c>
      <c r="I150" s="409">
        <v>2.6399999999999997</v>
      </c>
      <c r="J150" s="47">
        <f t="shared" si="11"/>
        <v>0</v>
      </c>
      <c r="K150" s="21">
        <f t="shared" si="10"/>
        <v>246.18115796793998</v>
      </c>
    </row>
    <row r="151" spans="1:11" s="22" customFormat="1" x14ac:dyDescent="0.35">
      <c r="A151" s="19">
        <v>138</v>
      </c>
      <c r="B151" s="19" t="s">
        <v>71</v>
      </c>
      <c r="C151" s="20" t="s">
        <v>404</v>
      </c>
      <c r="D151" s="116">
        <f>'Schedule 4 Adjustments'!F150</f>
        <v>0</v>
      </c>
      <c r="E151" s="409">
        <v>5.28</v>
      </c>
      <c r="F151" s="47">
        <f t="shared" si="12"/>
        <v>0</v>
      </c>
      <c r="G151" s="21">
        <f t="shared" si="9"/>
        <v>492.36231593588002</v>
      </c>
      <c r="H151" s="150">
        <f>'Schedule 4 Adjustments'!N150</f>
        <v>0</v>
      </c>
      <c r="I151" s="409">
        <v>5.28</v>
      </c>
      <c r="J151" s="47">
        <f t="shared" si="11"/>
        <v>0</v>
      </c>
      <c r="K151" s="21">
        <f t="shared" si="10"/>
        <v>492.36231593588002</v>
      </c>
    </row>
    <row r="152" spans="1:11" s="22" customFormat="1" x14ac:dyDescent="0.35">
      <c r="A152" s="19">
        <v>139</v>
      </c>
      <c r="B152" s="19" t="s">
        <v>789</v>
      </c>
      <c r="C152" s="20" t="s">
        <v>790</v>
      </c>
      <c r="D152" s="116">
        <f>'Schedule 4 Adjustments'!F152</f>
        <v>0</v>
      </c>
      <c r="E152" s="409">
        <v>0.12</v>
      </c>
      <c r="F152" s="47">
        <f t="shared" ref="F152" si="13">D152*E152</f>
        <v>0</v>
      </c>
      <c r="G152" s="21">
        <f t="shared" ref="G152" si="14">E152*$F$13</f>
        <v>11.190052634906364</v>
      </c>
      <c r="H152" s="150">
        <f>'Schedule 4 Adjustments'!N151</f>
        <v>0</v>
      </c>
      <c r="I152" s="409">
        <v>0.09</v>
      </c>
      <c r="J152" s="47">
        <f t="shared" ref="J152" si="15">H152*I152</f>
        <v>0</v>
      </c>
      <c r="K152" s="21">
        <f t="shared" ref="K152" si="16">I152*$F$13</f>
        <v>8.3925394761797723</v>
      </c>
    </row>
    <row r="153" spans="1:11" s="22" customFormat="1" x14ac:dyDescent="0.35">
      <c r="A153" s="19">
        <v>140</v>
      </c>
      <c r="B153" s="19" t="s">
        <v>72</v>
      </c>
      <c r="C153" s="20" t="s">
        <v>405</v>
      </c>
      <c r="D153" s="116">
        <f>'Schedule 4 Adjustments'!F152</f>
        <v>0</v>
      </c>
      <c r="E153" s="409">
        <v>1.02</v>
      </c>
      <c r="F153" s="47">
        <f t="shared" si="12"/>
        <v>0</v>
      </c>
      <c r="G153" s="21">
        <f t="shared" si="9"/>
        <v>95.115447396704099</v>
      </c>
      <c r="H153" s="150">
        <f>'Schedule 4 Adjustments'!N152</f>
        <v>0</v>
      </c>
      <c r="I153" s="409">
        <v>0.94</v>
      </c>
      <c r="J153" s="47">
        <f t="shared" si="11"/>
        <v>0</v>
      </c>
      <c r="K153" s="21">
        <f t="shared" si="10"/>
        <v>87.655412306766507</v>
      </c>
    </row>
    <row r="154" spans="1:11" s="22" customFormat="1" x14ac:dyDescent="0.35">
      <c r="A154" s="19">
        <v>141</v>
      </c>
      <c r="B154" s="19" t="s">
        <v>20</v>
      </c>
      <c r="C154" s="20" t="s">
        <v>406</v>
      </c>
      <c r="D154" s="116">
        <f>'Schedule 4 Adjustments'!F153</f>
        <v>0</v>
      </c>
      <c r="E154" s="409">
        <v>0</v>
      </c>
      <c r="F154" s="47">
        <f t="shared" si="12"/>
        <v>0</v>
      </c>
      <c r="G154" s="21">
        <f t="shared" si="9"/>
        <v>0</v>
      </c>
      <c r="H154" s="150">
        <f>'Schedule 4 Adjustments'!N153</f>
        <v>0</v>
      </c>
      <c r="I154" s="409">
        <v>0</v>
      </c>
      <c r="J154" s="47">
        <f t="shared" si="11"/>
        <v>0</v>
      </c>
      <c r="K154" s="21">
        <f t="shared" si="10"/>
        <v>0</v>
      </c>
    </row>
    <row r="155" spans="1:11" s="22" customFormat="1" x14ac:dyDescent="0.35">
      <c r="A155" s="19">
        <v>142</v>
      </c>
      <c r="B155" s="19" t="s">
        <v>73</v>
      </c>
      <c r="C155" s="20" t="s">
        <v>143</v>
      </c>
      <c r="D155" s="116">
        <f>'Schedule 4 Adjustments'!F154</f>
        <v>0</v>
      </c>
      <c r="E155" s="409">
        <v>5.17</v>
      </c>
      <c r="F155" s="47">
        <f t="shared" si="12"/>
        <v>0</v>
      </c>
      <c r="G155" s="21">
        <f t="shared" si="9"/>
        <v>482.10476768721583</v>
      </c>
      <c r="H155" s="150">
        <f>'Schedule 4 Adjustments'!N154</f>
        <v>0</v>
      </c>
      <c r="I155" s="409">
        <v>4.43</v>
      </c>
      <c r="J155" s="47">
        <f t="shared" si="11"/>
        <v>0</v>
      </c>
      <c r="K155" s="21">
        <f t="shared" si="10"/>
        <v>413.09944310529323</v>
      </c>
    </row>
    <row r="156" spans="1:11" s="22" customFormat="1" x14ac:dyDescent="0.35">
      <c r="A156" s="19">
        <v>143</v>
      </c>
      <c r="B156" s="19" t="s">
        <v>74</v>
      </c>
      <c r="C156" s="20" t="s">
        <v>144</v>
      </c>
      <c r="D156" s="116">
        <f>'Schedule 4 Adjustments'!F155</f>
        <v>0</v>
      </c>
      <c r="E156" s="409">
        <v>1.7</v>
      </c>
      <c r="F156" s="47">
        <f t="shared" si="12"/>
        <v>0</v>
      </c>
      <c r="G156" s="21">
        <f t="shared" si="9"/>
        <v>158.52574566117349</v>
      </c>
      <c r="H156" s="150">
        <f>'Schedule 4 Adjustments'!N155</f>
        <v>0</v>
      </c>
      <c r="I156" s="409">
        <v>1.05</v>
      </c>
      <c r="J156" s="47">
        <f t="shared" si="11"/>
        <v>0</v>
      </c>
      <c r="K156" s="21">
        <f t="shared" si="10"/>
        <v>97.912960555430686</v>
      </c>
    </row>
    <row r="157" spans="1:11" s="22" customFormat="1" x14ac:dyDescent="0.35">
      <c r="A157" s="19">
        <v>144</v>
      </c>
      <c r="B157" s="19" t="s">
        <v>26</v>
      </c>
      <c r="C157" s="20" t="s">
        <v>143</v>
      </c>
      <c r="D157" s="116">
        <f>'Schedule 4 Adjustments'!F156</f>
        <v>0</v>
      </c>
      <c r="E157" s="409">
        <v>0</v>
      </c>
      <c r="F157" s="47">
        <f t="shared" si="12"/>
        <v>0</v>
      </c>
      <c r="G157" s="21">
        <f t="shared" si="9"/>
        <v>0</v>
      </c>
      <c r="H157" s="150">
        <f>'Schedule 4 Adjustments'!N156</f>
        <v>0</v>
      </c>
      <c r="I157" s="409">
        <v>0</v>
      </c>
      <c r="J157" s="47">
        <f t="shared" si="11"/>
        <v>0</v>
      </c>
      <c r="K157" s="21">
        <f t="shared" si="10"/>
        <v>0</v>
      </c>
    </row>
    <row r="158" spans="1:11" s="22" customFormat="1" x14ac:dyDescent="0.35">
      <c r="A158" s="19">
        <v>145</v>
      </c>
      <c r="B158" s="19" t="s">
        <v>75</v>
      </c>
      <c r="C158" s="20" t="s">
        <v>145</v>
      </c>
      <c r="D158" s="116">
        <f>'Schedule 4 Adjustments'!F157</f>
        <v>0</v>
      </c>
      <c r="E158" s="409">
        <v>1.35</v>
      </c>
      <c r="F158" s="47">
        <f t="shared" si="12"/>
        <v>0</v>
      </c>
      <c r="G158" s="21">
        <f t="shared" si="9"/>
        <v>125.88809214269659</v>
      </c>
      <c r="H158" s="150">
        <f>'Schedule 4 Adjustments'!N157</f>
        <v>0</v>
      </c>
      <c r="I158" s="409">
        <v>1.35</v>
      </c>
      <c r="J158" s="47">
        <f t="shared" si="11"/>
        <v>0</v>
      </c>
      <c r="K158" s="21">
        <f t="shared" si="10"/>
        <v>125.88809214269659</v>
      </c>
    </row>
    <row r="159" spans="1:11" s="22" customFormat="1" x14ac:dyDescent="0.35">
      <c r="A159" s="19">
        <v>146</v>
      </c>
      <c r="B159" s="19" t="s">
        <v>76</v>
      </c>
      <c r="C159" s="20" t="s">
        <v>146</v>
      </c>
      <c r="D159" s="116">
        <f>'Schedule 4 Adjustments'!F158</f>
        <v>0</v>
      </c>
      <c r="E159" s="409">
        <v>2.56</v>
      </c>
      <c r="F159" s="47">
        <f t="shared" si="12"/>
        <v>0</v>
      </c>
      <c r="G159" s="21">
        <f t="shared" si="9"/>
        <v>238.72112287800243</v>
      </c>
      <c r="H159" s="150">
        <f>'Schedule 4 Adjustments'!N158</f>
        <v>0</v>
      </c>
      <c r="I159" s="409">
        <v>2.14</v>
      </c>
      <c r="J159" s="47">
        <f t="shared" si="11"/>
        <v>0</v>
      </c>
      <c r="K159" s="21">
        <f t="shared" si="10"/>
        <v>199.55593865583018</v>
      </c>
    </row>
    <row r="160" spans="1:11" s="22" customFormat="1" x14ac:dyDescent="0.35">
      <c r="A160" s="19">
        <v>147</v>
      </c>
      <c r="B160" s="19" t="s">
        <v>77</v>
      </c>
      <c r="C160" s="20" t="s">
        <v>407</v>
      </c>
      <c r="D160" s="116">
        <f>'Schedule 4 Adjustments'!F159</f>
        <v>0</v>
      </c>
      <c r="E160" s="409">
        <v>1.6</v>
      </c>
      <c r="F160" s="47">
        <f t="shared" si="12"/>
        <v>0</v>
      </c>
      <c r="G160" s="21">
        <f t="shared" si="9"/>
        <v>149.20070179875151</v>
      </c>
      <c r="H160" s="150">
        <f>'Schedule 4 Adjustments'!N159</f>
        <v>0</v>
      </c>
      <c r="I160" s="409">
        <v>1.6</v>
      </c>
      <c r="J160" s="47">
        <f t="shared" si="11"/>
        <v>0</v>
      </c>
      <c r="K160" s="21">
        <f t="shared" si="10"/>
        <v>149.20070179875151</v>
      </c>
    </row>
    <row r="161" spans="1:11" s="22" customFormat="1" x14ac:dyDescent="0.35">
      <c r="A161" s="19">
        <v>148</v>
      </c>
      <c r="B161" s="19" t="s">
        <v>78</v>
      </c>
      <c r="C161" s="20" t="s">
        <v>408</v>
      </c>
      <c r="D161" s="116">
        <f>'Schedule 4 Adjustments'!F160</f>
        <v>0</v>
      </c>
      <c r="E161" s="409">
        <v>2.64</v>
      </c>
      <c r="F161" s="47">
        <f t="shared" si="12"/>
        <v>0</v>
      </c>
      <c r="G161" s="21">
        <f t="shared" si="9"/>
        <v>246.18115796794001</v>
      </c>
      <c r="H161" s="150">
        <f>'Schedule 4 Adjustments'!N160</f>
        <v>0</v>
      </c>
      <c r="I161" s="409">
        <v>2.64</v>
      </c>
      <c r="J161" s="47">
        <f t="shared" si="11"/>
        <v>0</v>
      </c>
      <c r="K161" s="21">
        <f t="shared" si="10"/>
        <v>246.18115796794001</v>
      </c>
    </row>
    <row r="162" spans="1:11" s="22" customFormat="1" x14ac:dyDescent="0.35">
      <c r="A162" s="19">
        <v>149</v>
      </c>
      <c r="B162" s="19" t="s">
        <v>79</v>
      </c>
      <c r="C162" s="20" t="s">
        <v>409</v>
      </c>
      <c r="D162" s="116">
        <f>'Schedule 4 Adjustments'!F161</f>
        <v>971</v>
      </c>
      <c r="E162" s="409">
        <v>1.24</v>
      </c>
      <c r="F162" s="47">
        <f t="shared" si="12"/>
        <v>1204.04</v>
      </c>
      <c r="G162" s="21">
        <f t="shared" si="9"/>
        <v>115.63054389403243</v>
      </c>
      <c r="H162" s="150">
        <f>'Schedule 4 Adjustments'!N161</f>
        <v>12563</v>
      </c>
      <c r="I162" s="409">
        <v>1.24</v>
      </c>
      <c r="J162" s="47">
        <f t="shared" si="11"/>
        <v>15578.119999999999</v>
      </c>
      <c r="K162" s="21">
        <f t="shared" si="10"/>
        <v>115.63054389403243</v>
      </c>
    </row>
    <row r="163" spans="1:11" s="22" customFormat="1" x14ac:dyDescent="0.35">
      <c r="A163" s="19">
        <v>150</v>
      </c>
      <c r="B163" s="19" t="s">
        <v>80</v>
      </c>
      <c r="C163" s="20" t="s">
        <v>410</v>
      </c>
      <c r="D163" s="116">
        <f>'Schedule 4 Adjustments'!F162</f>
        <v>0</v>
      </c>
      <c r="E163" s="409">
        <v>0.83</v>
      </c>
      <c r="F163" s="47">
        <f t="shared" si="12"/>
        <v>0</v>
      </c>
      <c r="G163" s="21">
        <f t="shared" si="9"/>
        <v>77.397864058102343</v>
      </c>
      <c r="H163" s="150">
        <f>'Schedule 4 Adjustments'!N162</f>
        <v>0</v>
      </c>
      <c r="I163" s="409">
        <v>0.72</v>
      </c>
      <c r="J163" s="47">
        <f t="shared" si="11"/>
        <v>0</v>
      </c>
      <c r="K163" s="21">
        <f t="shared" si="10"/>
        <v>67.140315809438178</v>
      </c>
    </row>
    <row r="164" spans="1:11" s="22" customFormat="1" x14ac:dyDescent="0.35">
      <c r="A164" s="19">
        <v>151</v>
      </c>
      <c r="B164" s="19" t="s">
        <v>81</v>
      </c>
      <c r="C164" s="20" t="s">
        <v>411</v>
      </c>
      <c r="D164" s="116">
        <f>'Schedule 4 Adjustments'!F163</f>
        <v>1385</v>
      </c>
      <c r="E164" s="409">
        <v>0.92</v>
      </c>
      <c r="F164" s="47">
        <f t="shared" si="12"/>
        <v>1274.2</v>
      </c>
      <c r="G164" s="21">
        <f t="shared" si="9"/>
        <v>85.79040353428212</v>
      </c>
      <c r="H164" s="150">
        <f>'Schedule 4 Adjustments'!N163</f>
        <v>12751</v>
      </c>
      <c r="I164" s="409">
        <v>0.92</v>
      </c>
      <c r="J164" s="47">
        <f t="shared" si="11"/>
        <v>11730.92</v>
      </c>
      <c r="K164" s="21">
        <f t="shared" si="10"/>
        <v>85.79040353428212</v>
      </c>
    </row>
    <row r="165" spans="1:11" s="22" customFormat="1" x14ac:dyDescent="0.35">
      <c r="A165" s="19">
        <v>152</v>
      </c>
      <c r="B165" s="19" t="s">
        <v>82</v>
      </c>
      <c r="C165" s="20" t="s">
        <v>412</v>
      </c>
      <c r="D165" s="116">
        <f>'Schedule 4 Adjustments'!F164</f>
        <v>0</v>
      </c>
      <c r="E165" s="409">
        <v>0.14000000000000001</v>
      </c>
      <c r="F165" s="47">
        <f t="shared" si="12"/>
        <v>0</v>
      </c>
      <c r="G165" s="21">
        <f t="shared" si="9"/>
        <v>13.05506140739076</v>
      </c>
      <c r="H165" s="150">
        <f>'Schedule 4 Adjustments'!N164</f>
        <v>0</v>
      </c>
      <c r="I165" s="409">
        <v>0.12</v>
      </c>
      <c r="J165" s="47">
        <f t="shared" si="11"/>
        <v>0</v>
      </c>
      <c r="K165" s="21">
        <f t="shared" si="10"/>
        <v>11.190052634906364</v>
      </c>
    </row>
    <row r="166" spans="1:11" s="22" customFormat="1" x14ac:dyDescent="0.35">
      <c r="A166" s="19">
        <v>153</v>
      </c>
      <c r="B166" s="19" t="s">
        <v>83</v>
      </c>
      <c r="C166" s="20" t="s">
        <v>417</v>
      </c>
      <c r="D166" s="116">
        <f>'Schedule 4 Adjustments'!F165</f>
        <v>0</v>
      </c>
      <c r="E166" s="409">
        <v>3.3600000000000003</v>
      </c>
      <c r="F166" s="47">
        <f t="shared" si="12"/>
        <v>0</v>
      </c>
      <c r="G166" s="21">
        <f t="shared" si="9"/>
        <v>313.32147377737823</v>
      </c>
      <c r="H166" s="150">
        <f>'Schedule 4 Adjustments'!N165</f>
        <v>0</v>
      </c>
      <c r="I166" s="409">
        <v>2.88</v>
      </c>
      <c r="J166" s="47">
        <f t="shared" si="11"/>
        <v>0</v>
      </c>
      <c r="K166" s="21">
        <f t="shared" si="10"/>
        <v>268.56126323775271</v>
      </c>
    </row>
    <row r="167" spans="1:11" s="22" customFormat="1" x14ac:dyDescent="0.35">
      <c r="A167" s="19">
        <v>154</v>
      </c>
      <c r="B167" s="19" t="s">
        <v>84</v>
      </c>
      <c r="C167" s="20" t="s">
        <v>415</v>
      </c>
      <c r="D167" s="116">
        <f>'Schedule 4 Adjustments'!F166</f>
        <v>285</v>
      </c>
      <c r="E167" s="409">
        <v>0.44</v>
      </c>
      <c r="F167" s="47">
        <f t="shared" si="12"/>
        <v>125.4</v>
      </c>
      <c r="G167" s="21">
        <f t="shared" si="9"/>
        <v>41.030192994656666</v>
      </c>
      <c r="H167" s="150">
        <f>'Schedule 4 Adjustments'!N166</f>
        <v>8507</v>
      </c>
      <c r="I167" s="409">
        <v>0.44</v>
      </c>
      <c r="J167" s="47">
        <f t="shared" si="11"/>
        <v>3743.08</v>
      </c>
      <c r="K167" s="21">
        <f t="shared" si="10"/>
        <v>41.030192994656666</v>
      </c>
    </row>
    <row r="168" spans="1:11" s="22" customFormat="1" x14ac:dyDescent="0.35">
      <c r="A168" s="19">
        <v>155</v>
      </c>
      <c r="B168" s="19" t="s">
        <v>85</v>
      </c>
      <c r="C168" s="20" t="s">
        <v>416</v>
      </c>
      <c r="D168" s="116">
        <f>'Schedule 4 Adjustments'!F167</f>
        <v>0</v>
      </c>
      <c r="E168" s="409">
        <v>5.28</v>
      </c>
      <c r="F168" s="47">
        <f t="shared" si="12"/>
        <v>0</v>
      </c>
      <c r="G168" s="21">
        <f t="shared" si="9"/>
        <v>492.36231593588002</v>
      </c>
      <c r="H168" s="150">
        <f>'Schedule 4 Adjustments'!N167</f>
        <v>0</v>
      </c>
      <c r="I168" s="409">
        <v>5.28</v>
      </c>
      <c r="J168" s="47">
        <f t="shared" si="11"/>
        <v>0</v>
      </c>
      <c r="K168" s="21">
        <f t="shared" si="10"/>
        <v>492.36231593588002</v>
      </c>
    </row>
    <row r="169" spans="1:11" s="22" customFormat="1" x14ac:dyDescent="0.35">
      <c r="A169" s="19">
        <v>156</v>
      </c>
      <c r="B169" s="19" t="s">
        <v>86</v>
      </c>
      <c r="C169" s="20" t="s">
        <v>414</v>
      </c>
      <c r="D169" s="116">
        <f>'Schedule 4 Adjustments'!F168</f>
        <v>690</v>
      </c>
      <c r="E169" s="409">
        <v>0.44</v>
      </c>
      <c r="F169" s="47">
        <f t="shared" si="12"/>
        <v>303.60000000000002</v>
      </c>
      <c r="G169" s="21">
        <f t="shared" si="9"/>
        <v>41.030192994656666</v>
      </c>
      <c r="H169" s="150">
        <f>'Schedule 4 Adjustments'!N168</f>
        <v>5091</v>
      </c>
      <c r="I169" s="409">
        <v>0.44</v>
      </c>
      <c r="J169" s="47">
        <f t="shared" si="11"/>
        <v>2240.04</v>
      </c>
      <c r="K169" s="21">
        <f t="shared" si="10"/>
        <v>41.030192994656666</v>
      </c>
    </row>
    <row r="170" spans="1:11" s="22" customFormat="1" x14ac:dyDescent="0.35">
      <c r="A170" s="19">
        <v>157</v>
      </c>
      <c r="B170" s="19" t="s">
        <v>87</v>
      </c>
      <c r="C170" s="20" t="s">
        <v>413</v>
      </c>
      <c r="D170" s="116">
        <f>'Schedule 4 Adjustments'!F169</f>
        <v>0</v>
      </c>
      <c r="E170" s="409">
        <v>5.28</v>
      </c>
      <c r="F170" s="47">
        <f t="shared" si="12"/>
        <v>0</v>
      </c>
      <c r="G170" s="21">
        <f t="shared" si="9"/>
        <v>492.36231593588002</v>
      </c>
      <c r="H170" s="150">
        <f>'Schedule 4 Adjustments'!N169</f>
        <v>0</v>
      </c>
      <c r="I170" s="409">
        <v>5.28</v>
      </c>
      <c r="J170" s="47">
        <f t="shared" si="11"/>
        <v>0</v>
      </c>
      <c r="K170" s="21">
        <f t="shared" si="10"/>
        <v>492.36231593588002</v>
      </c>
    </row>
    <row r="171" spans="1:11" s="22" customFormat="1" x14ac:dyDescent="0.35">
      <c r="A171" s="19">
        <v>158</v>
      </c>
      <c r="B171" s="19" t="s">
        <v>88</v>
      </c>
      <c r="C171" s="20" t="s">
        <v>418</v>
      </c>
      <c r="D171" s="116">
        <f>'Schedule 4 Adjustments'!F170</f>
        <v>244</v>
      </c>
      <c r="E171" s="409">
        <v>0.14000000000000001</v>
      </c>
      <c r="F171" s="47">
        <f t="shared" si="12"/>
        <v>34.160000000000004</v>
      </c>
      <c r="G171" s="21">
        <f t="shared" si="9"/>
        <v>13.05506140739076</v>
      </c>
      <c r="H171" s="150">
        <f>'Schedule 4 Adjustments'!N170</f>
        <v>5385</v>
      </c>
      <c r="I171" s="409">
        <v>0.12</v>
      </c>
      <c r="J171" s="47">
        <f t="shared" si="11"/>
        <v>646.19999999999993</v>
      </c>
      <c r="K171" s="21">
        <f t="shared" si="10"/>
        <v>11.190052634906364</v>
      </c>
    </row>
    <row r="172" spans="1:11" s="22" customFormat="1" x14ac:dyDescent="0.35">
      <c r="A172" s="19">
        <v>159</v>
      </c>
      <c r="B172" s="19" t="s">
        <v>89</v>
      </c>
      <c r="C172" s="20" t="s">
        <v>419</v>
      </c>
      <c r="D172" s="116">
        <f>'Schedule 4 Adjustments'!F171</f>
        <v>0</v>
      </c>
      <c r="E172" s="409">
        <v>3.3600000000000003</v>
      </c>
      <c r="F172" s="47">
        <f t="shared" si="12"/>
        <v>0</v>
      </c>
      <c r="G172" s="21">
        <f t="shared" si="9"/>
        <v>313.32147377737823</v>
      </c>
      <c r="H172" s="150">
        <f>'Schedule 4 Adjustments'!N171</f>
        <v>0</v>
      </c>
      <c r="I172" s="409">
        <v>2.88</v>
      </c>
      <c r="J172" s="47">
        <f t="shared" si="11"/>
        <v>0</v>
      </c>
      <c r="K172" s="21">
        <f t="shared" si="10"/>
        <v>268.56126323775271</v>
      </c>
    </row>
    <row r="173" spans="1:11" s="22" customFormat="1" x14ac:dyDescent="0.35">
      <c r="A173" s="19">
        <v>160</v>
      </c>
      <c r="B173" s="19" t="s">
        <v>90</v>
      </c>
      <c r="C173" s="20" t="s">
        <v>420</v>
      </c>
      <c r="D173" s="116">
        <f>'Schedule 4 Adjustments'!F172</f>
        <v>9</v>
      </c>
      <c r="E173" s="409">
        <v>0.14000000000000001</v>
      </c>
      <c r="F173" s="47">
        <f t="shared" si="12"/>
        <v>1.2600000000000002</v>
      </c>
      <c r="G173" s="21">
        <f t="shared" si="9"/>
        <v>13.05506140739076</v>
      </c>
      <c r="H173" s="150">
        <f>'Schedule 4 Adjustments'!N172</f>
        <v>117</v>
      </c>
      <c r="I173" s="409">
        <v>0.12</v>
      </c>
      <c r="J173" s="47">
        <f t="shared" si="11"/>
        <v>14.04</v>
      </c>
      <c r="K173" s="21">
        <f t="shared" si="10"/>
        <v>11.190052634906364</v>
      </c>
    </row>
    <row r="174" spans="1:11" s="22" customFormat="1" x14ac:dyDescent="0.35">
      <c r="A174" s="19">
        <v>161</v>
      </c>
      <c r="B174" s="19" t="s">
        <v>91</v>
      </c>
      <c r="C174" s="20" t="s">
        <v>421</v>
      </c>
      <c r="D174" s="116">
        <f>'Schedule 4 Adjustments'!F173</f>
        <v>0</v>
      </c>
      <c r="E174" s="409">
        <v>3.3600000000000003</v>
      </c>
      <c r="F174" s="47">
        <f t="shared" si="12"/>
        <v>0</v>
      </c>
      <c r="G174" s="21">
        <f t="shared" si="9"/>
        <v>313.32147377737823</v>
      </c>
      <c r="H174" s="150">
        <f>'Schedule 4 Adjustments'!N173</f>
        <v>0</v>
      </c>
      <c r="I174" s="409">
        <v>2.88</v>
      </c>
      <c r="J174" s="47">
        <f t="shared" si="11"/>
        <v>0</v>
      </c>
      <c r="K174" s="21">
        <f t="shared" si="10"/>
        <v>268.56126323775271</v>
      </c>
    </row>
    <row r="175" spans="1:11" s="22" customFormat="1" x14ac:dyDescent="0.35">
      <c r="A175" s="19">
        <v>162</v>
      </c>
      <c r="B175" s="19" t="s">
        <v>92</v>
      </c>
      <c r="C175" s="20" t="s">
        <v>422</v>
      </c>
      <c r="D175" s="116">
        <f>'Schedule 4 Adjustments'!F174</f>
        <v>65</v>
      </c>
      <c r="E175" s="409">
        <v>0.14000000000000001</v>
      </c>
      <c r="F175" s="47">
        <f t="shared" si="12"/>
        <v>9.1000000000000014</v>
      </c>
      <c r="G175" s="21">
        <f t="shared" si="9"/>
        <v>13.05506140739076</v>
      </c>
      <c r="H175" s="150">
        <f>'Schedule 4 Adjustments'!N174</f>
        <v>1050</v>
      </c>
      <c r="I175" s="409">
        <v>0.12</v>
      </c>
      <c r="J175" s="47">
        <f t="shared" si="11"/>
        <v>126</v>
      </c>
      <c r="K175" s="21">
        <f t="shared" si="10"/>
        <v>11.190052634906364</v>
      </c>
    </row>
    <row r="176" spans="1:11" s="22" customFormat="1" x14ac:dyDescent="0.35">
      <c r="A176" s="19">
        <v>163</v>
      </c>
      <c r="B176" s="19" t="s">
        <v>93</v>
      </c>
      <c r="C176" s="20" t="s">
        <v>423</v>
      </c>
      <c r="D176" s="116">
        <f>'Schedule 4 Adjustments'!F175</f>
        <v>0</v>
      </c>
      <c r="E176" s="409">
        <v>0.14000000000000001</v>
      </c>
      <c r="F176" s="47">
        <f t="shared" si="12"/>
        <v>0</v>
      </c>
      <c r="G176" s="21">
        <f t="shared" si="9"/>
        <v>13.05506140739076</v>
      </c>
      <c r="H176" s="150">
        <f>'Schedule 4 Adjustments'!N175</f>
        <v>29874</v>
      </c>
      <c r="I176" s="409">
        <v>0.12</v>
      </c>
      <c r="J176" s="47">
        <f t="shared" si="11"/>
        <v>3584.8799999999997</v>
      </c>
      <c r="K176" s="21">
        <f t="shared" si="10"/>
        <v>11.190052634906364</v>
      </c>
    </row>
    <row r="177" spans="1:11" s="22" customFormat="1" x14ac:dyDescent="0.35">
      <c r="A177" s="19">
        <v>164</v>
      </c>
      <c r="B177" s="19" t="s">
        <v>94</v>
      </c>
      <c r="C177" s="20" t="s">
        <v>424</v>
      </c>
      <c r="D177" s="116">
        <f>'Schedule 4 Adjustments'!F176</f>
        <v>0</v>
      </c>
      <c r="E177" s="409">
        <v>3.3600000000000003</v>
      </c>
      <c r="F177" s="47">
        <f t="shared" si="12"/>
        <v>0</v>
      </c>
      <c r="G177" s="21">
        <f t="shared" si="9"/>
        <v>313.32147377737823</v>
      </c>
      <c r="H177" s="150">
        <f>'Schedule 4 Adjustments'!N176</f>
        <v>1196</v>
      </c>
      <c r="I177" s="409">
        <v>2.88</v>
      </c>
      <c r="J177" s="47">
        <f t="shared" si="11"/>
        <v>3444.48</v>
      </c>
      <c r="K177" s="21">
        <f t="shared" si="10"/>
        <v>268.56126323775271</v>
      </c>
    </row>
    <row r="178" spans="1:11" s="22" customFormat="1" x14ac:dyDescent="0.35">
      <c r="A178" s="19">
        <v>165</v>
      </c>
      <c r="B178" s="19" t="s">
        <v>95</v>
      </c>
      <c r="C178" s="20" t="s">
        <v>425</v>
      </c>
      <c r="D178" s="116">
        <f>'Schedule 4 Adjustments'!F177</f>
        <v>0</v>
      </c>
      <c r="E178" s="409">
        <v>0.14000000000000001</v>
      </c>
      <c r="F178" s="47">
        <f t="shared" si="12"/>
        <v>0</v>
      </c>
      <c r="G178" s="21">
        <f t="shared" si="9"/>
        <v>13.05506140739076</v>
      </c>
      <c r="H178" s="150">
        <f>'Schedule 4 Adjustments'!N177</f>
        <v>108</v>
      </c>
      <c r="I178" s="409">
        <v>0.12</v>
      </c>
      <c r="J178" s="47">
        <f t="shared" si="11"/>
        <v>12.959999999999999</v>
      </c>
      <c r="K178" s="21">
        <f t="shared" si="10"/>
        <v>11.190052634906364</v>
      </c>
    </row>
    <row r="179" spans="1:11" s="22" customFormat="1" x14ac:dyDescent="0.35">
      <c r="A179" s="19">
        <v>166</v>
      </c>
      <c r="B179" s="19" t="s">
        <v>96</v>
      </c>
      <c r="C179" s="20" t="s">
        <v>426</v>
      </c>
      <c r="D179" s="116">
        <f>'Schedule 4 Adjustments'!F178</f>
        <v>0</v>
      </c>
      <c r="E179" s="409">
        <v>1.29</v>
      </c>
      <c r="F179" s="47">
        <f t="shared" si="12"/>
        <v>0</v>
      </c>
      <c r="G179" s="21">
        <f t="shared" si="9"/>
        <v>120.29306582524342</v>
      </c>
      <c r="H179" s="150">
        <f>'Schedule 4 Adjustments'!N178</f>
        <v>0</v>
      </c>
      <c r="I179" s="409">
        <v>1.1299999999999999</v>
      </c>
      <c r="J179" s="47">
        <f t="shared" si="11"/>
        <v>0</v>
      </c>
      <c r="K179" s="21">
        <f t="shared" si="10"/>
        <v>105.37299564536825</v>
      </c>
    </row>
    <row r="180" spans="1:11" s="22" customFormat="1" x14ac:dyDescent="0.35">
      <c r="A180" s="19">
        <v>167</v>
      </c>
      <c r="B180" s="19" t="s">
        <v>35</v>
      </c>
      <c r="C180" s="20" t="s">
        <v>37</v>
      </c>
      <c r="D180" s="116">
        <f>'Schedule 4 Adjustments'!F179</f>
        <v>0</v>
      </c>
      <c r="E180" s="409">
        <v>0</v>
      </c>
      <c r="F180" s="47">
        <f t="shared" si="12"/>
        <v>0</v>
      </c>
      <c r="G180" s="21">
        <f t="shared" si="9"/>
        <v>0</v>
      </c>
      <c r="H180" s="150">
        <f>'Schedule 4 Adjustments'!N179</f>
        <v>0</v>
      </c>
      <c r="I180" s="409">
        <v>0</v>
      </c>
      <c r="J180" s="47">
        <f t="shared" si="11"/>
        <v>0</v>
      </c>
      <c r="K180" s="21">
        <f t="shared" si="10"/>
        <v>0</v>
      </c>
    </row>
    <row r="181" spans="1:11" s="22" customFormat="1" x14ac:dyDescent="0.35">
      <c r="A181" s="19">
        <v>168</v>
      </c>
      <c r="B181" s="19" t="s">
        <v>97</v>
      </c>
      <c r="C181" s="20" t="s">
        <v>427</v>
      </c>
      <c r="D181" s="116">
        <f>'Schedule 4 Adjustments'!F180</f>
        <v>0</v>
      </c>
      <c r="E181" s="409">
        <v>0</v>
      </c>
      <c r="F181" s="47">
        <f t="shared" si="12"/>
        <v>0</v>
      </c>
      <c r="G181" s="21">
        <f t="shared" si="9"/>
        <v>0</v>
      </c>
      <c r="H181" s="150">
        <f>'Schedule 4 Adjustments'!N180</f>
        <v>0</v>
      </c>
      <c r="I181" s="409">
        <v>0</v>
      </c>
      <c r="J181" s="47">
        <f t="shared" si="11"/>
        <v>0</v>
      </c>
      <c r="K181" s="21">
        <f t="shared" si="10"/>
        <v>0</v>
      </c>
    </row>
    <row r="182" spans="1:11" s="22" customFormat="1" x14ac:dyDescent="0.35">
      <c r="A182" s="19">
        <v>169</v>
      </c>
      <c r="B182" s="19" t="s">
        <v>98</v>
      </c>
      <c r="C182" s="20" t="s">
        <v>428</v>
      </c>
      <c r="D182" s="116">
        <f>'Schedule 4 Adjustments'!F181</f>
        <v>0</v>
      </c>
      <c r="E182" s="409">
        <v>0.22</v>
      </c>
      <c r="F182" s="47">
        <f t="shared" si="12"/>
        <v>0</v>
      </c>
      <c r="G182" s="21">
        <f t="shared" si="9"/>
        <v>20.515096497328333</v>
      </c>
      <c r="H182" s="150">
        <f>'Schedule 4 Adjustments'!N181</f>
        <v>0</v>
      </c>
      <c r="I182" s="409">
        <v>0.22</v>
      </c>
      <c r="J182" s="47">
        <f t="shared" si="11"/>
        <v>0</v>
      </c>
      <c r="K182" s="21">
        <f t="shared" si="10"/>
        <v>20.515096497328333</v>
      </c>
    </row>
    <row r="183" spans="1:11" s="22" customFormat="1" x14ac:dyDescent="0.35">
      <c r="A183" s="19">
        <v>170</v>
      </c>
      <c r="B183" s="19" t="s">
        <v>99</v>
      </c>
      <c r="C183" s="20" t="s">
        <v>429</v>
      </c>
      <c r="D183" s="116">
        <f>'Schedule 4 Adjustments'!F182</f>
        <v>0</v>
      </c>
      <c r="E183" s="409">
        <v>4.4000000000000004</v>
      </c>
      <c r="F183" s="47">
        <f t="shared" si="12"/>
        <v>0</v>
      </c>
      <c r="G183" s="21">
        <f t="shared" si="9"/>
        <v>410.3019299465667</v>
      </c>
      <c r="H183" s="150">
        <f>'Schedule 4 Adjustments'!N182</f>
        <v>0</v>
      </c>
      <c r="I183" s="409">
        <v>4.4000000000000004</v>
      </c>
      <c r="J183" s="47">
        <f t="shared" si="11"/>
        <v>0</v>
      </c>
      <c r="K183" s="21">
        <f t="shared" si="10"/>
        <v>410.3019299465667</v>
      </c>
    </row>
    <row r="184" spans="1:11" s="22" customFormat="1" x14ac:dyDescent="0.35">
      <c r="A184" s="19">
        <v>171</v>
      </c>
      <c r="B184" s="19" t="s">
        <v>100</v>
      </c>
      <c r="C184" s="20" t="s">
        <v>147</v>
      </c>
      <c r="D184" s="116">
        <f>'Schedule 4 Adjustments'!F183</f>
        <v>0</v>
      </c>
      <c r="E184" s="409">
        <v>1.02</v>
      </c>
      <c r="F184" s="47">
        <f t="shared" si="12"/>
        <v>0</v>
      </c>
      <c r="G184" s="21">
        <f t="shared" si="9"/>
        <v>95.115447396704099</v>
      </c>
      <c r="H184" s="150">
        <f>'Schedule 4 Adjustments'!N183</f>
        <v>3</v>
      </c>
      <c r="I184" s="409">
        <v>0.94</v>
      </c>
      <c r="J184" s="47">
        <f t="shared" si="11"/>
        <v>2.82</v>
      </c>
      <c r="K184" s="21">
        <f t="shared" si="10"/>
        <v>87.655412306766507</v>
      </c>
    </row>
    <row r="185" spans="1:11" s="22" customFormat="1" x14ac:dyDescent="0.35">
      <c r="A185" s="19">
        <v>172</v>
      </c>
      <c r="B185" s="19" t="s">
        <v>101</v>
      </c>
      <c r="C185" s="20" t="s">
        <v>148</v>
      </c>
      <c r="D185" s="116">
        <f>'Schedule 4 Adjustments'!F184</f>
        <v>0</v>
      </c>
      <c r="E185" s="409">
        <v>0.75</v>
      </c>
      <c r="F185" s="47">
        <f t="shared" si="12"/>
        <v>0</v>
      </c>
      <c r="G185" s="21">
        <f t="shared" si="9"/>
        <v>69.93782896816478</v>
      </c>
      <c r="H185" s="150">
        <f>'Schedule 4 Adjustments'!N184</f>
        <v>0</v>
      </c>
      <c r="I185" s="409">
        <v>0.37</v>
      </c>
      <c r="J185" s="47">
        <f t="shared" si="11"/>
        <v>0</v>
      </c>
      <c r="K185" s="21">
        <f t="shared" si="10"/>
        <v>34.50266229096129</v>
      </c>
    </row>
    <row r="186" spans="1:11" s="22" customFormat="1" x14ac:dyDescent="0.35">
      <c r="A186" s="19">
        <v>173</v>
      </c>
      <c r="B186" s="19" t="s">
        <v>102</v>
      </c>
      <c r="C186" s="20" t="s">
        <v>430</v>
      </c>
      <c r="D186" s="116">
        <f>'Schedule 4 Adjustments'!F185</f>
        <v>0</v>
      </c>
      <c r="E186" s="409">
        <v>0.75</v>
      </c>
      <c r="F186" s="47">
        <f t="shared" si="12"/>
        <v>0</v>
      </c>
      <c r="G186" s="21">
        <f t="shared" si="9"/>
        <v>69.93782896816478</v>
      </c>
      <c r="H186" s="150">
        <f>'Schedule 4 Adjustments'!N185</f>
        <v>0</v>
      </c>
      <c r="I186" s="409">
        <v>0.37</v>
      </c>
      <c r="J186" s="47">
        <f t="shared" si="11"/>
        <v>0</v>
      </c>
      <c r="K186" s="21">
        <f t="shared" si="10"/>
        <v>34.50266229096129</v>
      </c>
    </row>
    <row r="187" spans="1:11" s="22" customFormat="1" x14ac:dyDescent="0.35">
      <c r="A187" s="19">
        <v>174</v>
      </c>
      <c r="B187" s="19" t="s">
        <v>103</v>
      </c>
      <c r="C187" s="20" t="s">
        <v>431</v>
      </c>
      <c r="D187" s="116">
        <f>'Schedule 4 Adjustments'!F186</f>
        <v>0</v>
      </c>
      <c r="E187" s="409">
        <v>3.96</v>
      </c>
      <c r="F187" s="47">
        <f t="shared" si="12"/>
        <v>0</v>
      </c>
      <c r="G187" s="21">
        <f t="shared" si="9"/>
        <v>369.27173695190999</v>
      </c>
      <c r="H187" s="150">
        <f>'Schedule 4 Adjustments'!N186</f>
        <v>1077</v>
      </c>
      <c r="I187" s="409">
        <v>3.96</v>
      </c>
      <c r="J187" s="47">
        <f t="shared" si="11"/>
        <v>4264.92</v>
      </c>
      <c r="K187" s="21">
        <f t="shared" si="10"/>
        <v>369.27173695190999</v>
      </c>
    </row>
    <row r="188" spans="1:11" s="22" customFormat="1" x14ac:dyDescent="0.35">
      <c r="A188" s="19">
        <v>175</v>
      </c>
      <c r="B188" s="19" t="s">
        <v>104</v>
      </c>
      <c r="C188" s="20" t="s">
        <v>432</v>
      </c>
      <c r="D188" s="116">
        <f>'Schedule 4 Adjustments'!F187</f>
        <v>0</v>
      </c>
      <c r="E188" s="409">
        <v>3.59</v>
      </c>
      <c r="F188" s="47">
        <f t="shared" si="12"/>
        <v>0</v>
      </c>
      <c r="G188" s="21">
        <f t="shared" si="9"/>
        <v>334.76907466094872</v>
      </c>
      <c r="H188" s="150">
        <f>'Schedule 4 Adjustments'!N187</f>
        <v>1</v>
      </c>
      <c r="I188" s="409">
        <v>3.59</v>
      </c>
      <c r="J188" s="47">
        <f t="shared" si="11"/>
        <v>3.59</v>
      </c>
      <c r="K188" s="21">
        <f t="shared" si="10"/>
        <v>334.76907466094872</v>
      </c>
    </row>
    <row r="189" spans="1:11" s="22" customFormat="1" x14ac:dyDescent="0.35">
      <c r="A189" s="19">
        <v>176</v>
      </c>
      <c r="B189" s="19" t="s">
        <v>36</v>
      </c>
      <c r="C189" s="20" t="s">
        <v>38</v>
      </c>
      <c r="D189" s="116">
        <f>'Schedule 4 Adjustments'!F188</f>
        <v>0</v>
      </c>
      <c r="E189" s="409">
        <v>0</v>
      </c>
      <c r="F189" s="47">
        <f t="shared" si="12"/>
        <v>0</v>
      </c>
      <c r="G189" s="21">
        <f t="shared" si="9"/>
        <v>0</v>
      </c>
      <c r="H189" s="150">
        <f>'Schedule 4 Adjustments'!N188</f>
        <v>0</v>
      </c>
      <c r="I189" s="409">
        <v>0</v>
      </c>
      <c r="J189" s="47">
        <f t="shared" si="11"/>
        <v>0</v>
      </c>
      <c r="K189" s="21">
        <f t="shared" si="10"/>
        <v>0</v>
      </c>
    </row>
    <row r="190" spans="1:11" s="22" customFormat="1" x14ac:dyDescent="0.35">
      <c r="A190" s="19">
        <v>177</v>
      </c>
      <c r="B190" s="19" t="s">
        <v>105</v>
      </c>
      <c r="C190" s="20" t="s">
        <v>433</v>
      </c>
      <c r="D190" s="116">
        <f>'Schedule 4 Adjustments'!F189</f>
        <v>0</v>
      </c>
      <c r="E190" s="409">
        <v>0.28999999999999998</v>
      </c>
      <c r="F190" s="47">
        <f t="shared" si="12"/>
        <v>0</v>
      </c>
      <c r="G190" s="21">
        <f t="shared" si="9"/>
        <v>27.042627201023709</v>
      </c>
      <c r="H190" s="150">
        <f>'Schedule 4 Adjustments'!N189</f>
        <v>0</v>
      </c>
      <c r="I190" s="409">
        <v>0.28999999999999998</v>
      </c>
      <c r="J190" s="47">
        <f t="shared" si="11"/>
        <v>0</v>
      </c>
      <c r="K190" s="21">
        <f t="shared" si="10"/>
        <v>27.042627201023709</v>
      </c>
    </row>
    <row r="191" spans="1:11" s="22" customFormat="1" x14ac:dyDescent="0.35">
      <c r="A191" s="19">
        <v>178</v>
      </c>
      <c r="B191" s="19" t="s">
        <v>106</v>
      </c>
      <c r="C191" s="20" t="s">
        <v>149</v>
      </c>
      <c r="D191" s="116">
        <f>'Schedule 4 Adjustments'!F190</f>
        <v>0</v>
      </c>
      <c r="E191" s="409">
        <v>3.07</v>
      </c>
      <c r="F191" s="47">
        <f t="shared" si="12"/>
        <v>0</v>
      </c>
      <c r="G191" s="21">
        <f t="shared" si="9"/>
        <v>286.27884657635445</v>
      </c>
      <c r="H191" s="150">
        <f>'Schedule 4 Adjustments'!N190</f>
        <v>0</v>
      </c>
      <c r="I191" s="409">
        <v>3.05</v>
      </c>
      <c r="J191" s="47">
        <f t="shared" si="11"/>
        <v>0</v>
      </c>
      <c r="K191" s="21">
        <f t="shared" si="10"/>
        <v>284.41383780387008</v>
      </c>
    </row>
    <row r="192" spans="1:11" s="22" customFormat="1" ht="29" x14ac:dyDescent="0.35">
      <c r="A192" s="19">
        <v>179</v>
      </c>
      <c r="B192" s="19" t="s">
        <v>27</v>
      </c>
      <c r="C192" s="20" t="s">
        <v>30</v>
      </c>
      <c r="D192" s="116">
        <f>'Schedule 4 Adjustments'!F191</f>
        <v>0</v>
      </c>
      <c r="E192" s="409">
        <v>0</v>
      </c>
      <c r="F192" s="47">
        <f t="shared" si="12"/>
        <v>0</v>
      </c>
      <c r="G192" s="21">
        <f t="shared" si="9"/>
        <v>0</v>
      </c>
      <c r="H192" s="150">
        <f>'Schedule 4 Adjustments'!N191</f>
        <v>0</v>
      </c>
      <c r="I192" s="409">
        <v>0</v>
      </c>
      <c r="J192" s="47">
        <f t="shared" si="11"/>
        <v>0</v>
      </c>
      <c r="K192" s="21">
        <f t="shared" si="10"/>
        <v>0</v>
      </c>
    </row>
    <row r="193" spans="1:11" s="22" customFormat="1" x14ac:dyDescent="0.35">
      <c r="A193" s="19">
        <v>180</v>
      </c>
      <c r="B193" s="19" t="s">
        <v>107</v>
      </c>
      <c r="C193" s="20" t="s">
        <v>150</v>
      </c>
      <c r="D193" s="116">
        <f>'Schedule 4 Adjustments'!F192</f>
        <v>0</v>
      </c>
      <c r="E193" s="409">
        <v>0.59</v>
      </c>
      <c r="F193" s="47">
        <f t="shared" si="12"/>
        <v>0</v>
      </c>
      <c r="G193" s="21">
        <f t="shared" si="9"/>
        <v>55.017758788289619</v>
      </c>
      <c r="H193" s="150">
        <f>'Schedule 4 Adjustments'!N192</f>
        <v>0</v>
      </c>
      <c r="I193" s="409">
        <v>0.55000000000000004</v>
      </c>
      <c r="J193" s="47">
        <f t="shared" si="11"/>
        <v>0</v>
      </c>
      <c r="K193" s="21">
        <f t="shared" si="10"/>
        <v>51.287741243320838</v>
      </c>
    </row>
    <row r="194" spans="1:11" s="22" customFormat="1" x14ac:dyDescent="0.35">
      <c r="A194" s="19">
        <v>181</v>
      </c>
      <c r="B194" s="19" t="s">
        <v>28</v>
      </c>
      <c r="C194" s="20" t="s">
        <v>31</v>
      </c>
      <c r="D194" s="116">
        <f>'Schedule 4 Adjustments'!F193</f>
        <v>0</v>
      </c>
      <c r="E194" s="409">
        <v>0</v>
      </c>
      <c r="F194" s="47">
        <f t="shared" si="12"/>
        <v>0</v>
      </c>
      <c r="G194" s="21">
        <f t="shared" si="9"/>
        <v>0</v>
      </c>
      <c r="H194" s="150">
        <f>'Schedule 4 Adjustments'!N193</f>
        <v>0</v>
      </c>
      <c r="I194" s="409">
        <v>0</v>
      </c>
      <c r="J194" s="47">
        <f t="shared" si="11"/>
        <v>0</v>
      </c>
      <c r="K194" s="21">
        <f t="shared" si="10"/>
        <v>0</v>
      </c>
    </row>
    <row r="195" spans="1:11" s="22" customFormat="1" x14ac:dyDescent="0.35">
      <c r="A195" s="19">
        <v>182</v>
      </c>
      <c r="B195" s="19" t="s">
        <v>108</v>
      </c>
      <c r="C195" s="20" t="s">
        <v>434</v>
      </c>
      <c r="D195" s="116">
        <f>'Schedule 4 Adjustments'!F194</f>
        <v>18</v>
      </c>
      <c r="E195" s="409">
        <v>0.64</v>
      </c>
      <c r="F195" s="47">
        <f t="shared" si="12"/>
        <v>11.52</v>
      </c>
      <c r="G195" s="21">
        <f t="shared" si="9"/>
        <v>59.680280719500608</v>
      </c>
      <c r="H195" s="150">
        <f>'Schedule 4 Adjustments'!N194</f>
        <v>669</v>
      </c>
      <c r="I195" s="409">
        <v>0.6</v>
      </c>
      <c r="J195" s="47">
        <f t="shared" si="11"/>
        <v>401.4</v>
      </c>
      <c r="K195" s="21">
        <f t="shared" si="10"/>
        <v>55.95026317453182</v>
      </c>
    </row>
    <row r="196" spans="1:11" s="22" customFormat="1" x14ac:dyDescent="0.35">
      <c r="A196" s="19">
        <v>183</v>
      </c>
      <c r="B196" s="19" t="s">
        <v>109</v>
      </c>
      <c r="C196" s="20" t="s">
        <v>151</v>
      </c>
      <c r="D196" s="116">
        <f>'Schedule 4 Adjustments'!F195</f>
        <v>3435</v>
      </c>
      <c r="E196" s="409">
        <v>0.65000000000000013</v>
      </c>
      <c r="F196" s="47">
        <f t="shared" si="12"/>
        <v>2232.7500000000005</v>
      </c>
      <c r="G196" s="21">
        <f t="shared" si="9"/>
        <v>60.612785105742816</v>
      </c>
      <c r="H196" s="150">
        <f>'Schedule 4 Adjustments'!N195</f>
        <v>14772</v>
      </c>
      <c r="I196" s="409">
        <v>0.59999999999999987</v>
      </c>
      <c r="J196" s="47">
        <f t="shared" si="11"/>
        <v>8863.1999999999989</v>
      </c>
      <c r="K196" s="21">
        <f t="shared" si="10"/>
        <v>55.950263174531806</v>
      </c>
    </row>
    <row r="197" spans="1:11" s="22" customFormat="1" x14ac:dyDescent="0.35">
      <c r="A197" s="19">
        <v>184</v>
      </c>
      <c r="B197" s="19" t="s">
        <v>29</v>
      </c>
      <c r="C197" s="20" t="s">
        <v>32</v>
      </c>
      <c r="D197" s="116">
        <f>'Schedule 4 Adjustments'!F196</f>
        <v>0</v>
      </c>
      <c r="E197" s="409">
        <v>0</v>
      </c>
      <c r="F197" s="47">
        <f t="shared" si="12"/>
        <v>0</v>
      </c>
      <c r="G197" s="21">
        <f t="shared" si="9"/>
        <v>0</v>
      </c>
      <c r="H197" s="150">
        <f>'Schedule 4 Adjustments'!N196</f>
        <v>0</v>
      </c>
      <c r="I197" s="409">
        <v>0</v>
      </c>
      <c r="J197" s="47">
        <f t="shared" si="11"/>
        <v>0</v>
      </c>
      <c r="K197" s="21">
        <f t="shared" si="10"/>
        <v>0</v>
      </c>
    </row>
    <row r="198" spans="1:11" x14ac:dyDescent="0.35">
      <c r="A198" s="19">
        <v>185</v>
      </c>
      <c r="B198" s="422"/>
      <c r="D198" s="9">
        <f>SUM(D18:D197)</f>
        <v>36616</v>
      </c>
      <c r="E198" s="13"/>
      <c r="F198" s="9">
        <f>SUM(F19:F197)</f>
        <v>36135.040000000001</v>
      </c>
      <c r="H198" s="9">
        <f>SUM(H19:H197)</f>
        <v>229211</v>
      </c>
      <c r="J198" s="9">
        <f>SUM(J19:J197)</f>
        <v>350327.89999999997</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scale="30" fitToHeight="0"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pageSetUpPr fitToPage="1"/>
  </sheetPr>
  <dimension ref="A1:M47"/>
  <sheetViews>
    <sheetView workbookViewId="0"/>
  </sheetViews>
  <sheetFormatPr defaultColWidth="9.08984375" defaultRowHeight="14.5" x14ac:dyDescent="0.35"/>
  <cols>
    <col min="2" max="2" width="16.54296875" customWidth="1"/>
    <col min="3" max="3" width="40.6328125" customWidth="1"/>
    <col min="4" max="4" width="26.6328125" style="100" customWidth="1"/>
    <col min="5" max="5" width="3" customWidth="1"/>
    <col min="6" max="6" width="9.08984375" customWidth="1"/>
    <col min="7" max="7" width="33.36328125" style="48" customWidth="1"/>
    <col min="8" max="8" width="30.36328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0" t="str">
        <f>Results!$C$6</f>
        <v>Diversus Health</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86" t="s">
        <v>868</v>
      </c>
      <c r="C10" s="486"/>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82" t="s">
        <v>870</v>
      </c>
      <c r="B12" s="483"/>
      <c r="C12" s="483"/>
      <c r="D12" s="484"/>
      <c r="G12" s="128"/>
      <c r="H12" s="128"/>
      <c r="I12" s="128"/>
      <c r="J12" s="128"/>
      <c r="K12" s="128"/>
      <c r="L12" s="128"/>
      <c r="M12" s="128"/>
    </row>
    <row r="13" spans="1:13" s="22" customFormat="1" x14ac:dyDescent="0.35">
      <c r="A13" s="155">
        <v>1</v>
      </c>
      <c r="B13" s="473" t="s">
        <v>871</v>
      </c>
      <c r="C13" s="475"/>
      <c r="D13" s="157">
        <f>'Schedule 5 Adjustments'!F12</f>
        <v>27060379</v>
      </c>
      <c r="G13" s="140"/>
    </row>
    <row r="14" spans="1:13" s="22" customFormat="1" x14ac:dyDescent="0.35">
      <c r="A14" s="155">
        <v>2</v>
      </c>
      <c r="B14" s="473" t="s">
        <v>872</v>
      </c>
      <c r="C14" s="475"/>
      <c r="D14" s="157">
        <f>'Schedule 5 Adjustments'!F13</f>
        <v>114759</v>
      </c>
      <c r="G14" s="140"/>
    </row>
    <row r="15" spans="1:13" s="22" customFormat="1" x14ac:dyDescent="0.35">
      <c r="A15" s="155">
        <v>3</v>
      </c>
      <c r="B15" s="173" t="s">
        <v>873</v>
      </c>
      <c r="C15" s="168"/>
      <c r="D15" s="157">
        <f>'Schedule 5 Adjustments'!F14</f>
        <v>642972</v>
      </c>
      <c r="G15" s="140"/>
    </row>
    <row r="16" spans="1:13" s="22" customFormat="1" x14ac:dyDescent="0.35">
      <c r="A16" s="155">
        <v>4</v>
      </c>
      <c r="B16" s="173" t="s">
        <v>874</v>
      </c>
      <c r="C16" s="168"/>
      <c r="D16" s="157">
        <f>'Schedule 5 Adjustments'!F15</f>
        <v>862929</v>
      </c>
      <c r="G16" s="140"/>
    </row>
    <row r="17" spans="1:7" s="22" customFormat="1" x14ac:dyDescent="0.35">
      <c r="A17" s="155">
        <v>5</v>
      </c>
      <c r="B17" s="173" t="s">
        <v>875</v>
      </c>
      <c r="C17" s="168"/>
      <c r="D17" s="157">
        <f>'Schedule 5 Adjustments'!F16</f>
        <v>161632</v>
      </c>
      <c r="G17" s="140"/>
    </row>
    <row r="18" spans="1:7" s="22" customFormat="1" x14ac:dyDescent="0.35">
      <c r="A18" s="155">
        <v>6</v>
      </c>
      <c r="B18" s="173" t="s">
        <v>876</v>
      </c>
      <c r="C18" s="168"/>
      <c r="D18" s="157">
        <f>'Schedule 5 Adjustments'!F17</f>
        <v>248058.26</v>
      </c>
      <c r="G18" s="140"/>
    </row>
    <row r="19" spans="1:7" s="22" customFormat="1" x14ac:dyDescent="0.35">
      <c r="A19" s="155">
        <v>7</v>
      </c>
      <c r="B19" s="473" t="s">
        <v>877</v>
      </c>
      <c r="C19" s="475"/>
      <c r="D19" s="157">
        <f>'Schedule 5 Adjustments'!F18</f>
        <v>0</v>
      </c>
      <c r="G19" s="140"/>
    </row>
    <row r="20" spans="1:7" s="22" customFormat="1" x14ac:dyDescent="0.35">
      <c r="A20" s="155">
        <v>8</v>
      </c>
      <c r="B20" s="479" t="s">
        <v>878</v>
      </c>
      <c r="C20" s="481"/>
      <c r="D20" s="160">
        <f>SUM(D13:D19)</f>
        <v>29090729.260000002</v>
      </c>
      <c r="G20" s="140"/>
    </row>
    <row r="21" spans="1:7" s="22" customFormat="1" x14ac:dyDescent="0.35">
      <c r="A21" s="161"/>
      <c r="B21" s="162"/>
      <c r="C21" s="162"/>
      <c r="D21" s="164"/>
      <c r="G21" s="140"/>
    </row>
    <row r="22" spans="1:7" s="22" customFormat="1" x14ac:dyDescent="0.35">
      <c r="A22" s="482" t="s">
        <v>879</v>
      </c>
      <c r="B22" s="483"/>
      <c r="C22" s="483"/>
      <c r="D22" s="484"/>
      <c r="E22" s="140"/>
      <c r="F22" s="140"/>
      <c r="G22" s="140"/>
    </row>
    <row r="23" spans="1:7" s="22" customFormat="1" x14ac:dyDescent="0.35">
      <c r="A23" s="155">
        <v>9</v>
      </c>
      <c r="B23" s="473" t="s">
        <v>880</v>
      </c>
      <c r="C23" s="475"/>
      <c r="D23" s="157">
        <f>'Schedule 5 Adjustments'!F22</f>
        <v>1630604.34</v>
      </c>
      <c r="E23" s="140"/>
      <c r="F23" s="140"/>
      <c r="G23" s="140"/>
    </row>
    <row r="24" spans="1:7" s="22" customFormat="1" x14ac:dyDescent="0.35">
      <c r="A24" s="155">
        <v>10</v>
      </c>
      <c r="B24" s="173" t="s">
        <v>881</v>
      </c>
      <c r="C24" s="168"/>
      <c r="D24" s="157">
        <f>'Schedule 5 Adjustments'!F23</f>
        <v>4437722.24</v>
      </c>
      <c r="E24" s="140"/>
      <c r="F24" s="140"/>
      <c r="G24" s="140"/>
    </row>
    <row r="25" spans="1:7" s="22" customFormat="1" x14ac:dyDescent="0.35">
      <c r="A25" s="155">
        <v>11</v>
      </c>
      <c r="B25" s="173" t="s">
        <v>882</v>
      </c>
      <c r="C25" s="168"/>
      <c r="D25" s="157">
        <f>'Schedule 5 Adjustments'!F24</f>
        <v>2114747.7400000002</v>
      </c>
      <c r="E25" s="140"/>
      <c r="F25" s="140"/>
      <c r="G25" s="140"/>
    </row>
    <row r="26" spans="1:7" s="22" customFormat="1" x14ac:dyDescent="0.35">
      <c r="A26" s="155">
        <v>12</v>
      </c>
      <c r="B26" s="173" t="s">
        <v>883</v>
      </c>
      <c r="C26" s="168"/>
      <c r="D26" s="157">
        <f>'Schedule 5 Adjustments'!F25</f>
        <v>4021</v>
      </c>
      <c r="E26" s="140"/>
      <c r="F26" s="140"/>
      <c r="G26" s="140"/>
    </row>
    <row r="27" spans="1:7" s="22" customFormat="1" x14ac:dyDescent="0.35">
      <c r="A27" s="155">
        <v>13</v>
      </c>
      <c r="B27" s="173" t="s">
        <v>884</v>
      </c>
      <c r="C27" s="168"/>
      <c r="D27" s="157">
        <f>'Schedule 5 Adjustments'!F26</f>
        <v>38487.270000000004</v>
      </c>
      <c r="E27" s="140"/>
      <c r="F27" s="140"/>
      <c r="G27" s="140"/>
    </row>
    <row r="28" spans="1:7" s="22" customFormat="1" x14ac:dyDescent="0.35">
      <c r="A28" s="155">
        <v>14</v>
      </c>
      <c r="B28" s="479" t="s">
        <v>885</v>
      </c>
      <c r="C28" s="481"/>
      <c r="D28" s="160">
        <f>SUM(D23:D27)</f>
        <v>8225582.5899999999</v>
      </c>
      <c r="E28" s="140"/>
      <c r="F28" s="140"/>
      <c r="G28" s="140"/>
    </row>
    <row r="29" spans="1:7" s="22" customFormat="1" x14ac:dyDescent="0.35">
      <c r="A29" s="161"/>
      <c r="B29" s="162"/>
      <c r="C29" s="162"/>
      <c r="D29" s="164"/>
      <c r="F29" s="140"/>
      <c r="G29" s="140"/>
    </row>
    <row r="30" spans="1:7" s="22" customFormat="1" x14ac:dyDescent="0.35">
      <c r="A30" s="482" t="s">
        <v>886</v>
      </c>
      <c r="B30" s="483"/>
      <c r="C30" s="483"/>
      <c r="D30" s="484"/>
      <c r="F30" s="140"/>
      <c r="G30" s="140"/>
    </row>
    <row r="31" spans="1:7" s="22" customFormat="1" x14ac:dyDescent="0.35">
      <c r="A31" s="155">
        <v>15</v>
      </c>
      <c r="B31" s="473" t="s">
        <v>887</v>
      </c>
      <c r="C31" s="475"/>
      <c r="D31" s="157">
        <f>'Schedule 5 Adjustments'!F30</f>
        <v>0</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326772</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10100</v>
      </c>
      <c r="G35" s="140"/>
    </row>
    <row r="36" spans="1:7" s="22" customFormat="1" x14ac:dyDescent="0.35">
      <c r="A36" s="155">
        <v>20</v>
      </c>
      <c r="B36" s="479" t="s">
        <v>892</v>
      </c>
      <c r="C36" s="481"/>
      <c r="D36" s="160">
        <f>SUM(D31:D35)</f>
        <v>336872</v>
      </c>
      <c r="G36" s="140"/>
    </row>
    <row r="37" spans="1:7" s="22" customFormat="1" x14ac:dyDescent="0.35">
      <c r="A37" s="161"/>
      <c r="B37" s="162"/>
      <c r="C37" s="162"/>
      <c r="D37" s="164"/>
      <c r="G37" s="140"/>
    </row>
    <row r="38" spans="1:7" s="22" customFormat="1" x14ac:dyDescent="0.35">
      <c r="A38" s="482" t="s">
        <v>893</v>
      </c>
      <c r="B38" s="483"/>
      <c r="C38" s="483"/>
      <c r="D38" s="484"/>
      <c r="G38" s="140"/>
    </row>
    <row r="39" spans="1:7" s="22" customFormat="1" x14ac:dyDescent="0.35">
      <c r="A39" s="155">
        <v>21</v>
      </c>
      <c r="B39" s="473" t="s">
        <v>304</v>
      </c>
      <c r="C39" s="474"/>
      <c r="D39" s="157">
        <f>'Schedule 5 Adjustments'!F38</f>
        <v>2040</v>
      </c>
      <c r="G39" s="140"/>
    </row>
    <row r="40" spans="1:7" s="22" customFormat="1" x14ac:dyDescent="0.35">
      <c r="A40" s="155">
        <v>22</v>
      </c>
      <c r="B40" s="473" t="s">
        <v>894</v>
      </c>
      <c r="C40" s="474"/>
      <c r="D40" s="157">
        <f>'Schedule 5 Adjustments'!F39</f>
        <v>0</v>
      </c>
      <c r="G40" s="140"/>
    </row>
    <row r="41" spans="1:7" s="22" customFormat="1" x14ac:dyDescent="0.35">
      <c r="A41" s="155">
        <v>23</v>
      </c>
      <c r="B41" s="473" t="s">
        <v>895</v>
      </c>
      <c r="C41" s="474"/>
      <c r="D41" s="157">
        <f>'Schedule 5 Adjustments'!F40</f>
        <v>85352</v>
      </c>
      <c r="G41" s="140"/>
    </row>
    <row r="42" spans="1:7" s="22" customFormat="1" x14ac:dyDescent="0.35">
      <c r="A42" s="155">
        <v>24</v>
      </c>
      <c r="B42" s="479" t="s">
        <v>896</v>
      </c>
      <c r="C42" s="480"/>
      <c r="D42" s="160">
        <f>SUM(D39:D41)</f>
        <v>87392</v>
      </c>
      <c r="G42" s="140"/>
    </row>
    <row r="43" spans="1:7" s="22" customFormat="1" x14ac:dyDescent="0.35">
      <c r="A43" s="161"/>
      <c r="B43" s="162"/>
      <c r="C43" s="162"/>
      <c r="D43" s="164"/>
      <c r="G43" s="140"/>
    </row>
    <row r="44" spans="1:7" s="63" customFormat="1" ht="15.5" x14ac:dyDescent="0.35">
      <c r="A44" s="155">
        <v>25</v>
      </c>
      <c r="B44" s="476" t="s">
        <v>897</v>
      </c>
      <c r="C44" s="478"/>
      <c r="D44" s="169">
        <f>SUM(D20,D28,D36,D42)</f>
        <v>37740575.850000001</v>
      </c>
      <c r="G44" s="141"/>
    </row>
    <row r="45" spans="1:7" s="22" customFormat="1" x14ac:dyDescent="0.35">
      <c r="A45" s="170"/>
      <c r="B45" s="170"/>
      <c r="C45" s="170"/>
      <c r="D45" s="170"/>
      <c r="G45" s="140"/>
    </row>
    <row r="46" spans="1:7" s="22" customFormat="1" x14ac:dyDescent="0.35">
      <c r="A46" s="155">
        <v>26</v>
      </c>
      <c r="B46" s="472" t="s">
        <v>898</v>
      </c>
      <c r="C46" s="472"/>
      <c r="D46" s="157">
        <f>'Schedule 5 Adjustments'!F45</f>
        <v>37740576</v>
      </c>
      <c r="G46" s="140"/>
    </row>
    <row r="47" spans="1:7" s="22" customFormat="1" ht="15.5" x14ac:dyDescent="0.35">
      <c r="A47" s="155">
        <v>27</v>
      </c>
      <c r="B47" s="472" t="s">
        <v>10</v>
      </c>
      <c r="C47" s="472"/>
      <c r="D47" s="169">
        <f>D44-D46</f>
        <v>-0.14999999850988388</v>
      </c>
      <c r="E47" s="33" t="str">
        <f>IF(ABS(D47)&gt;1,"Error - This variance should be 0.","")</f>
        <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pageSetup scale="9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heetViews>
  <sheetFormatPr defaultRowHeight="14.5" x14ac:dyDescent="0.35"/>
  <cols>
    <col min="2" max="2" width="15.90625" customWidth="1"/>
    <col min="3" max="3" width="43.90625" customWidth="1"/>
    <col min="4" max="4" width="12.36328125" customWidth="1"/>
    <col min="5" max="10" width="20.36328125" customWidth="1"/>
    <col min="11" max="11" width="3" customWidth="1"/>
    <col min="12" max="12" width="9.08984375" customWidth="1"/>
    <col min="13" max="13" width="33.36328125" style="48" customWidth="1"/>
    <col min="14" max="14" width="30.36328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4.9"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0" t="str">
        <f>Results!C6</f>
        <v>Diversus Health</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86" t="s">
        <v>1</v>
      </c>
      <c r="C9" s="486"/>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82" t="s">
        <v>280</v>
      </c>
      <c r="B11" s="483"/>
      <c r="C11" s="483"/>
      <c r="D11" s="483"/>
      <c r="E11" s="483"/>
      <c r="F11" s="483"/>
      <c r="G11" s="483"/>
      <c r="H11" s="483"/>
      <c r="I11" s="483"/>
      <c r="J11" s="484"/>
      <c r="M11" s="128"/>
      <c r="N11" s="128"/>
      <c r="O11" s="128"/>
      <c r="P11" s="128"/>
      <c r="Q11" s="128"/>
      <c r="R11" s="128"/>
      <c r="S11" s="128"/>
    </row>
    <row r="12" spans="1:19" s="22" customFormat="1" x14ac:dyDescent="0.35">
      <c r="A12" s="155">
        <v>1</v>
      </c>
      <c r="B12" s="473" t="s">
        <v>458</v>
      </c>
      <c r="C12" s="475"/>
      <c r="D12" s="156">
        <v>6.2778800000000015</v>
      </c>
      <c r="E12" s="157">
        <v>353545.797741196</v>
      </c>
      <c r="F12" s="157">
        <v>1353383.9754518918</v>
      </c>
      <c r="G12" s="157">
        <v>211499.75109665203</v>
      </c>
      <c r="H12" s="157">
        <v>54812.719308698288</v>
      </c>
      <c r="I12" s="157">
        <v>0</v>
      </c>
      <c r="J12" s="158">
        <f>SUM(E12:I12)</f>
        <v>1973242.2435984383</v>
      </c>
      <c r="M12" s="140"/>
    </row>
    <row r="13" spans="1:19" s="22" customFormat="1" x14ac:dyDescent="0.35">
      <c r="A13" s="155">
        <v>2</v>
      </c>
      <c r="B13" s="473" t="s">
        <v>291</v>
      </c>
      <c r="C13" s="475"/>
      <c r="D13" s="156">
        <v>93.466023333333609</v>
      </c>
      <c r="E13" s="157">
        <v>1046294.6364418672</v>
      </c>
      <c r="F13" s="157">
        <v>6983269.5010857536</v>
      </c>
      <c r="G13" s="157">
        <v>1064605.3343874</v>
      </c>
      <c r="H13" s="157">
        <v>464856.64402236691</v>
      </c>
      <c r="I13" s="157">
        <v>0</v>
      </c>
      <c r="J13" s="158">
        <f>SUM(E13:I13)</f>
        <v>9559026.1159373857</v>
      </c>
      <c r="M13" s="140"/>
    </row>
    <row r="14" spans="1:19" s="22" customFormat="1" x14ac:dyDescent="0.35">
      <c r="A14" s="155">
        <v>3</v>
      </c>
      <c r="B14" s="473" t="s">
        <v>301</v>
      </c>
      <c r="C14" s="475"/>
      <c r="D14" s="156">
        <v>112.10927</v>
      </c>
      <c r="E14" s="157">
        <v>155039.50457509593</v>
      </c>
      <c r="F14" s="157">
        <v>4150260.4457572801</v>
      </c>
      <c r="G14" s="157">
        <v>535190.81224685675</v>
      </c>
      <c r="H14" s="157">
        <v>508921.9369625831</v>
      </c>
      <c r="I14" s="157">
        <v>0</v>
      </c>
      <c r="J14" s="158">
        <f>SUM(E14:I14)</f>
        <v>5349412.6995418156</v>
      </c>
      <c r="M14" s="140"/>
    </row>
    <row r="15" spans="1:19" s="22" customFormat="1" x14ac:dyDescent="0.35">
      <c r="A15" s="155">
        <v>4</v>
      </c>
      <c r="B15" s="479" t="s">
        <v>290</v>
      </c>
      <c r="C15" s="481"/>
      <c r="D15" s="159">
        <f t="shared" ref="D15:I15" si="0">SUM(D12:D14)</f>
        <v>211.85317333333359</v>
      </c>
      <c r="E15" s="160">
        <f t="shared" si="0"/>
        <v>1554879.9387581591</v>
      </c>
      <c r="F15" s="160">
        <f t="shared" si="0"/>
        <v>12486913.922294926</v>
      </c>
      <c r="G15" s="160">
        <f t="shared" si="0"/>
        <v>1811295.8977309088</v>
      </c>
      <c r="H15" s="160">
        <f t="shared" si="0"/>
        <v>1028591.3002936483</v>
      </c>
      <c r="I15" s="160">
        <f t="shared" si="0"/>
        <v>0</v>
      </c>
      <c r="J15" s="160">
        <f>SUM(E15:I15)</f>
        <v>16881681.059077643</v>
      </c>
      <c r="M15" s="140"/>
    </row>
    <row r="16" spans="1:19" s="22" customFormat="1" x14ac:dyDescent="0.35">
      <c r="A16" s="161"/>
      <c r="B16" s="162"/>
      <c r="C16" s="162"/>
      <c r="D16" s="163"/>
      <c r="E16" s="164"/>
      <c r="F16" s="164"/>
      <c r="G16" s="164"/>
      <c r="H16" s="164"/>
      <c r="I16" s="164"/>
      <c r="J16" s="164"/>
      <c r="M16" s="140"/>
    </row>
    <row r="17" spans="1:13" s="22" customFormat="1" x14ac:dyDescent="0.35">
      <c r="A17" s="482" t="s">
        <v>281</v>
      </c>
      <c r="B17" s="483"/>
      <c r="C17" s="483"/>
      <c r="D17" s="483"/>
      <c r="E17" s="483"/>
      <c r="F17" s="483"/>
      <c r="G17" s="483"/>
      <c r="H17" s="483"/>
      <c r="I17" s="483"/>
      <c r="J17" s="484"/>
      <c r="M17" s="140"/>
    </row>
    <row r="18" spans="1:13" s="22" customFormat="1" x14ac:dyDescent="0.35">
      <c r="A18" s="155">
        <v>5</v>
      </c>
      <c r="B18" s="473" t="s">
        <v>221</v>
      </c>
      <c r="C18" s="475"/>
      <c r="D18" s="156">
        <v>3.2287319999999999</v>
      </c>
      <c r="E18" s="157">
        <v>928428.59896015003</v>
      </c>
      <c r="F18" s="157">
        <v>0</v>
      </c>
      <c r="G18" s="157">
        <v>0</v>
      </c>
      <c r="H18" s="157">
        <v>0</v>
      </c>
      <c r="I18" s="157">
        <v>0</v>
      </c>
      <c r="J18" s="158">
        <f>SUM(E18:I18)</f>
        <v>928428.59896015003</v>
      </c>
      <c r="M18" s="140"/>
    </row>
    <row r="19" spans="1:13" s="22" customFormat="1" x14ac:dyDescent="0.35">
      <c r="A19" s="155">
        <v>6</v>
      </c>
      <c r="B19" s="473" t="s">
        <v>293</v>
      </c>
      <c r="C19" s="475"/>
      <c r="D19" s="156">
        <v>114.09652616666671</v>
      </c>
      <c r="E19" s="157">
        <v>4848824.7422816921</v>
      </c>
      <c r="F19" s="157">
        <v>2295976.13452469</v>
      </c>
      <c r="G19" s="157">
        <v>396385.03233500227</v>
      </c>
      <c r="H19" s="157">
        <v>231497.38282082393</v>
      </c>
      <c r="I19" s="157">
        <v>0</v>
      </c>
      <c r="J19" s="158">
        <f>SUM(E19:I19)</f>
        <v>7772683.2919622082</v>
      </c>
      <c r="M19" s="140"/>
    </row>
    <row r="20" spans="1:13" s="22" customFormat="1" x14ac:dyDescent="0.35">
      <c r="A20" s="155">
        <v>7</v>
      </c>
      <c r="B20" s="479" t="s">
        <v>220</v>
      </c>
      <c r="C20" s="481"/>
      <c r="D20" s="159">
        <f t="shared" ref="D20:I20" si="1">SUM(D18:D19)</f>
        <v>117.3252581666667</v>
      </c>
      <c r="E20" s="160">
        <f t="shared" si="1"/>
        <v>5777253.3412418421</v>
      </c>
      <c r="F20" s="160">
        <f t="shared" si="1"/>
        <v>2295976.13452469</v>
      </c>
      <c r="G20" s="160">
        <f t="shared" si="1"/>
        <v>396385.03233500227</v>
      </c>
      <c r="H20" s="160">
        <f t="shared" si="1"/>
        <v>231497.38282082393</v>
      </c>
      <c r="I20" s="160">
        <f t="shared" si="1"/>
        <v>0</v>
      </c>
      <c r="J20" s="160">
        <f>SUM(E20:I20)</f>
        <v>8701111.8909223583</v>
      </c>
      <c r="M20" s="140"/>
    </row>
    <row r="21" spans="1:13" s="22" customFormat="1" x14ac:dyDescent="0.35">
      <c r="A21" s="161"/>
      <c r="B21" s="162"/>
      <c r="C21" s="162"/>
      <c r="D21" s="163"/>
      <c r="E21" s="164"/>
      <c r="F21" s="164"/>
      <c r="G21" s="164"/>
      <c r="H21" s="164"/>
      <c r="I21" s="164"/>
      <c r="J21" s="164"/>
      <c r="M21" s="140"/>
    </row>
    <row r="22" spans="1:13" s="22" customFormat="1" x14ac:dyDescent="0.35">
      <c r="A22" s="482" t="s">
        <v>275</v>
      </c>
      <c r="B22" s="483"/>
      <c r="C22" s="483"/>
      <c r="D22" s="483"/>
      <c r="E22" s="483"/>
      <c r="F22" s="483"/>
      <c r="G22" s="483"/>
      <c r="H22" s="483"/>
      <c r="I22" s="483"/>
      <c r="J22" s="484"/>
      <c r="M22" s="140"/>
    </row>
    <row r="23" spans="1:13" s="22" customFormat="1" x14ac:dyDescent="0.35">
      <c r="A23" s="155">
        <v>8</v>
      </c>
      <c r="B23" s="473" t="s">
        <v>276</v>
      </c>
      <c r="C23" s="474"/>
      <c r="D23" s="475"/>
      <c r="E23" s="165">
        <f>'As-Filed Schedule 1A'!H27*-1</f>
        <v>-111445.75961817428</v>
      </c>
      <c r="F23" s="165">
        <f>'As-Filed Schedule 1A'!H28*-1</f>
        <v>0</v>
      </c>
      <c r="G23" s="165">
        <f>-'As-Filed Schedule 1A'!H29</f>
        <v>0</v>
      </c>
      <c r="H23" s="165">
        <f>-'As-Filed Schedule 1A'!H30</f>
        <v>0</v>
      </c>
      <c r="I23" s="165">
        <f>-SUM(E23:H23)</f>
        <v>111445.75961817428</v>
      </c>
      <c r="J23" s="158">
        <f>SUM(E23:I23)</f>
        <v>0</v>
      </c>
      <c r="M23" s="140"/>
    </row>
    <row r="24" spans="1:13" s="22" customFormat="1" x14ac:dyDescent="0.35">
      <c r="A24" s="155">
        <v>9</v>
      </c>
      <c r="B24" s="479" t="s">
        <v>222</v>
      </c>
      <c r="C24" s="480"/>
      <c r="D24" s="481"/>
      <c r="E24" s="160">
        <f>SUM(E23:E23)</f>
        <v>-111445.75961817428</v>
      </c>
      <c r="F24" s="160">
        <f>SUM(F23:F23)</f>
        <v>0</v>
      </c>
      <c r="G24" s="160">
        <f>SUM(G23:G23)</f>
        <v>0</v>
      </c>
      <c r="H24" s="160">
        <f>SUM(H23:H23)</f>
        <v>0</v>
      </c>
      <c r="I24" s="160">
        <f>SUM(I23:I23)</f>
        <v>111445.75961817428</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82" t="s">
        <v>235</v>
      </c>
      <c r="B26" s="483"/>
      <c r="C26" s="483"/>
      <c r="D26" s="483"/>
      <c r="E26" s="483"/>
      <c r="F26" s="483"/>
      <c r="G26" s="483"/>
      <c r="H26" s="483"/>
      <c r="I26" s="483"/>
      <c r="J26" s="484"/>
      <c r="M26" s="140"/>
    </row>
    <row r="27" spans="1:13" s="22" customFormat="1" x14ac:dyDescent="0.35">
      <c r="A27" s="155">
        <v>10</v>
      </c>
      <c r="B27" s="473" t="s">
        <v>224</v>
      </c>
      <c r="C27" s="474"/>
      <c r="D27" s="475"/>
      <c r="E27" s="157">
        <v>183259.19</v>
      </c>
      <c r="F27" s="157">
        <v>3276.536126126126</v>
      </c>
      <c r="G27" s="157">
        <v>0</v>
      </c>
      <c r="H27" s="157">
        <v>13.873873873873872</v>
      </c>
      <c r="I27" s="157">
        <v>0</v>
      </c>
      <c r="J27" s="158">
        <f>SUM(E27:I27)</f>
        <v>186549.6</v>
      </c>
      <c r="M27" s="140"/>
    </row>
    <row r="28" spans="1:13" s="22" customFormat="1" x14ac:dyDescent="0.35">
      <c r="A28" s="166">
        <v>11</v>
      </c>
      <c r="B28" s="173" t="s">
        <v>223</v>
      </c>
      <c r="C28" s="167"/>
      <c r="D28" s="168"/>
      <c r="E28" s="157">
        <v>2224352.6599999997</v>
      </c>
      <c r="F28" s="157">
        <v>4258874.001869238</v>
      </c>
      <c r="G28" s="157">
        <v>546970.49791368854</v>
      </c>
      <c r="H28" s="157">
        <v>359076.81021707325</v>
      </c>
      <c r="I28" s="157">
        <v>0</v>
      </c>
      <c r="J28" s="158">
        <f>SUM(E28:I28)</f>
        <v>7389273.9699999988</v>
      </c>
      <c r="K28" s="128"/>
      <c r="M28" s="140"/>
    </row>
    <row r="29" spans="1:13" s="22" customFormat="1" x14ac:dyDescent="0.35">
      <c r="A29" s="155">
        <v>12</v>
      </c>
      <c r="B29" s="473" t="s">
        <v>300</v>
      </c>
      <c r="C29" s="474"/>
      <c r="D29" s="475"/>
      <c r="E29" s="157">
        <v>484323.24999999994</v>
      </c>
      <c r="F29" s="157">
        <v>212866.82584609662</v>
      </c>
      <c r="G29" s="157">
        <v>15706.19468608949</v>
      </c>
      <c r="H29" s="157">
        <v>28773.519467813894</v>
      </c>
      <c r="I29" s="157">
        <v>171577.43</v>
      </c>
      <c r="J29" s="158">
        <f t="shared" ref="J29" si="2">SUM(E29:I29)</f>
        <v>913247.22</v>
      </c>
      <c r="M29" s="140"/>
    </row>
    <row r="30" spans="1:13" s="22" customFormat="1" x14ac:dyDescent="0.35">
      <c r="A30" s="155">
        <v>13</v>
      </c>
      <c r="B30" s="479" t="s">
        <v>225</v>
      </c>
      <c r="C30" s="480"/>
      <c r="D30" s="481"/>
      <c r="E30" s="160">
        <f>SUM(E27:E29)</f>
        <v>2891935.0999999996</v>
      </c>
      <c r="F30" s="160">
        <f>SUM(F27:F29)</f>
        <v>4475017.363841461</v>
      </c>
      <c r="G30" s="160">
        <f>SUM(G27:G29)</f>
        <v>562676.69259977806</v>
      </c>
      <c r="H30" s="160">
        <f>SUM(H27:H29)</f>
        <v>387864.20355876099</v>
      </c>
      <c r="I30" s="160">
        <f>SUM(I27:I29)</f>
        <v>171577.43</v>
      </c>
      <c r="J30" s="160">
        <f>SUM(E30:I30)</f>
        <v>8489070.7899999991</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79" t="s">
        <v>228</v>
      </c>
      <c r="C32" s="480"/>
      <c r="D32" s="481"/>
      <c r="E32" s="160">
        <f>E30+E24+E20+E15</f>
        <v>10112622.620381827</v>
      </c>
      <c r="F32" s="160">
        <f>F30+F24+F20+F15</f>
        <v>19257907.420661077</v>
      </c>
      <c r="G32" s="160">
        <f>G30+G24+G20+G15</f>
        <v>2770357.6226656893</v>
      </c>
      <c r="H32" s="160">
        <f>H30+H24+H20+H15</f>
        <v>1647952.886673233</v>
      </c>
      <c r="I32" s="160">
        <f>I30+I24+I20+I15</f>
        <v>283023.18961817428</v>
      </c>
      <c r="J32" s="160">
        <f t="shared" ref="J32" si="3">SUM(E32:I32)</f>
        <v>34071863.740000002</v>
      </c>
      <c r="M32" s="140"/>
    </row>
    <row r="33" spans="1:13" s="22" customFormat="1" x14ac:dyDescent="0.35">
      <c r="A33" s="161"/>
      <c r="B33" s="162"/>
      <c r="C33" s="162"/>
      <c r="D33" s="163"/>
      <c r="E33" s="164"/>
      <c r="F33" s="164"/>
      <c r="G33" s="164"/>
      <c r="H33" s="164"/>
      <c r="I33" s="164"/>
      <c r="J33" s="164"/>
      <c r="M33" s="140"/>
    </row>
    <row r="34" spans="1:13" s="22" customFormat="1" x14ac:dyDescent="0.35">
      <c r="A34" s="482" t="s">
        <v>234</v>
      </c>
      <c r="B34" s="483"/>
      <c r="C34" s="483"/>
      <c r="D34" s="483"/>
      <c r="E34" s="483"/>
      <c r="F34" s="483"/>
      <c r="G34" s="483"/>
      <c r="H34" s="483"/>
      <c r="I34" s="483"/>
      <c r="J34" s="484"/>
      <c r="M34" s="140"/>
    </row>
    <row r="35" spans="1:13" s="22" customFormat="1" x14ac:dyDescent="0.35">
      <c r="A35" s="155">
        <v>15</v>
      </c>
      <c r="B35" s="473" t="s">
        <v>292</v>
      </c>
      <c r="C35" s="474"/>
      <c r="D35" s="475"/>
      <c r="E35" s="157">
        <v>78350.45</v>
      </c>
      <c r="F35" s="157">
        <v>975486.40624377632</v>
      </c>
      <c r="G35" s="157">
        <v>215943.17668175983</v>
      </c>
      <c r="H35" s="157">
        <v>34171.407074463903</v>
      </c>
      <c r="I35" s="157">
        <v>0</v>
      </c>
      <c r="J35" s="158">
        <f>SUM(E35:I35)</f>
        <v>1303951.44</v>
      </c>
      <c r="M35" s="140"/>
    </row>
    <row r="36" spans="1:13" s="22" customFormat="1" x14ac:dyDescent="0.35">
      <c r="A36" s="155">
        <v>16</v>
      </c>
      <c r="B36" s="473" t="s">
        <v>227</v>
      </c>
      <c r="C36" s="474"/>
      <c r="D36" s="475"/>
      <c r="E36" s="157">
        <v>0</v>
      </c>
      <c r="F36" s="157">
        <v>0</v>
      </c>
      <c r="G36" s="157">
        <v>0</v>
      </c>
      <c r="H36" s="157">
        <v>0</v>
      </c>
      <c r="I36" s="157">
        <v>0</v>
      </c>
      <c r="J36" s="158">
        <f>SUM(E36:I36)</f>
        <v>0</v>
      </c>
    </row>
    <row r="37" spans="1:13" s="22" customFormat="1" x14ac:dyDescent="0.35">
      <c r="A37" s="155">
        <v>17</v>
      </c>
      <c r="B37" s="173" t="s">
        <v>459</v>
      </c>
      <c r="C37" s="167"/>
      <c r="D37" s="168"/>
      <c r="E37" s="157">
        <v>0</v>
      </c>
      <c r="F37" s="157">
        <v>0</v>
      </c>
      <c r="G37" s="157">
        <v>0</v>
      </c>
      <c r="H37" s="157">
        <v>0</v>
      </c>
      <c r="I37" s="157">
        <v>0</v>
      </c>
      <c r="J37" s="158">
        <f>SUM(E37:I37)</f>
        <v>0</v>
      </c>
      <c r="K37" s="128"/>
    </row>
    <row r="38" spans="1:13" s="22" customFormat="1" x14ac:dyDescent="0.35">
      <c r="A38" s="155">
        <v>18</v>
      </c>
      <c r="B38" s="479" t="s">
        <v>226</v>
      </c>
      <c r="C38" s="480"/>
      <c r="D38" s="481"/>
      <c r="E38" s="160">
        <f>SUM(E35:E37)</f>
        <v>78350.45</v>
      </c>
      <c r="F38" s="160">
        <f t="shared" ref="F38:I38" si="4">SUM(F35:F37)</f>
        <v>975486.40624377632</v>
      </c>
      <c r="G38" s="160">
        <f t="shared" si="4"/>
        <v>215943.17668175983</v>
      </c>
      <c r="H38" s="160">
        <f t="shared" si="4"/>
        <v>34171.407074463903</v>
      </c>
      <c r="I38" s="160">
        <f t="shared" si="4"/>
        <v>0</v>
      </c>
      <c r="J38" s="160">
        <f>SUM(E38:I38)</f>
        <v>1303951.44</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79" t="s">
        <v>229</v>
      </c>
      <c r="C40" s="480"/>
      <c r="D40" s="481"/>
      <c r="E40" s="160">
        <f>E38+E32</f>
        <v>10190973.070381826</v>
      </c>
      <c r="F40" s="160">
        <f>F38+F32</f>
        <v>20233393.826904852</v>
      </c>
      <c r="G40" s="160">
        <f>G38+G32</f>
        <v>2986300.7993474491</v>
      </c>
      <c r="H40" s="160">
        <f>H38+H32</f>
        <v>1682124.293747697</v>
      </c>
      <c r="I40" s="160">
        <f>I38+I32</f>
        <v>283023.18961817428</v>
      </c>
      <c r="J40" s="160">
        <f>SUM(E40:I40)</f>
        <v>35375815.18</v>
      </c>
      <c r="M40" s="140"/>
    </row>
    <row r="41" spans="1:13" s="22" customFormat="1" x14ac:dyDescent="0.35">
      <c r="A41" s="161"/>
      <c r="B41" s="162"/>
      <c r="C41" s="162"/>
      <c r="D41" s="163"/>
      <c r="E41" s="164"/>
      <c r="F41" s="164"/>
      <c r="G41" s="164"/>
      <c r="H41" s="164"/>
      <c r="I41" s="164"/>
      <c r="J41" s="164"/>
      <c r="M41" s="140"/>
    </row>
    <row r="42" spans="1:13" s="22" customFormat="1" x14ac:dyDescent="0.35">
      <c r="A42" s="482" t="s">
        <v>487</v>
      </c>
      <c r="B42" s="483"/>
      <c r="C42" s="483"/>
      <c r="D42" s="483"/>
      <c r="E42" s="483"/>
      <c r="F42" s="483"/>
      <c r="G42" s="483"/>
      <c r="H42" s="483"/>
      <c r="I42" s="483"/>
      <c r="J42" s="484"/>
      <c r="M42" s="140"/>
    </row>
    <row r="43" spans="1:13" s="22" customFormat="1" x14ac:dyDescent="0.35">
      <c r="A43" s="155">
        <v>20</v>
      </c>
      <c r="B43" s="473" t="s">
        <v>283</v>
      </c>
      <c r="C43" s="474"/>
      <c r="D43" s="475"/>
      <c r="E43" s="157">
        <v>0</v>
      </c>
      <c r="F43" s="157">
        <v>0</v>
      </c>
      <c r="G43" s="157">
        <v>0</v>
      </c>
      <c r="H43" s="157">
        <v>0</v>
      </c>
      <c r="I43" s="157">
        <v>0</v>
      </c>
      <c r="J43" s="158">
        <f>SUM(E43:I43)</f>
        <v>0</v>
      </c>
      <c r="M43" s="140"/>
    </row>
    <row r="44" spans="1:13" s="22" customFormat="1" x14ac:dyDescent="0.35">
      <c r="A44" s="155">
        <v>21</v>
      </c>
      <c r="B44" s="473" t="s">
        <v>230</v>
      </c>
      <c r="C44" s="474"/>
      <c r="D44" s="475"/>
      <c r="E44" s="157">
        <v>0</v>
      </c>
      <c r="F44" s="157">
        <v>12656.248931312588</v>
      </c>
      <c r="G44" s="157">
        <v>1687.5987779919867</v>
      </c>
      <c r="H44" s="157">
        <v>371.85229069542567</v>
      </c>
      <c r="I44" s="157">
        <v>0</v>
      </c>
      <c r="J44" s="158">
        <f t="shared" ref="J44:J50" si="5">SUM(E44:I44)</f>
        <v>14715.7</v>
      </c>
      <c r="M44" s="140"/>
    </row>
    <row r="45" spans="1:13" s="22" customFormat="1" x14ac:dyDescent="0.35">
      <c r="A45" s="155">
        <v>22</v>
      </c>
      <c r="B45" s="473" t="s">
        <v>288</v>
      </c>
      <c r="C45" s="474"/>
      <c r="D45" s="475"/>
      <c r="E45" s="157">
        <v>0</v>
      </c>
      <c r="F45" s="157">
        <v>4295.5632435836014</v>
      </c>
      <c r="G45" s="157">
        <v>242939.73046987376</v>
      </c>
      <c r="H45" s="157">
        <v>652.8762865426288</v>
      </c>
      <c r="I45" s="157">
        <v>0</v>
      </c>
      <c r="J45" s="158">
        <f t="shared" si="5"/>
        <v>247888.16999999998</v>
      </c>
      <c r="M45" s="140"/>
    </row>
    <row r="46" spans="1:13" s="22" customFormat="1" x14ac:dyDescent="0.35">
      <c r="A46" s="155">
        <v>23</v>
      </c>
      <c r="B46" s="473" t="s">
        <v>284</v>
      </c>
      <c r="C46" s="474"/>
      <c r="D46" s="475"/>
      <c r="E46" s="157">
        <v>0</v>
      </c>
      <c r="F46" s="157">
        <v>0</v>
      </c>
      <c r="G46" s="157">
        <v>0</v>
      </c>
      <c r="H46" s="157">
        <v>0</v>
      </c>
      <c r="I46" s="157">
        <v>0</v>
      </c>
      <c r="J46" s="158">
        <f t="shared" si="5"/>
        <v>0</v>
      </c>
      <c r="M46" s="140"/>
    </row>
    <row r="47" spans="1:13" s="22" customFormat="1" x14ac:dyDescent="0.35">
      <c r="A47" s="155">
        <v>24</v>
      </c>
      <c r="B47" s="473" t="s">
        <v>314</v>
      </c>
      <c r="C47" s="474"/>
      <c r="D47" s="475"/>
      <c r="E47" s="157">
        <v>0</v>
      </c>
      <c r="F47" s="157">
        <v>0</v>
      </c>
      <c r="G47" s="157">
        <v>14094.42</v>
      </c>
      <c r="H47" s="157">
        <v>19262.349999999999</v>
      </c>
      <c r="I47" s="157">
        <v>0</v>
      </c>
      <c r="J47" s="158">
        <f t="shared" si="5"/>
        <v>33356.769999999997</v>
      </c>
      <c r="M47" s="140"/>
    </row>
    <row r="48" spans="1:13" s="22" customFormat="1" x14ac:dyDescent="0.35">
      <c r="A48" s="155">
        <v>25</v>
      </c>
      <c r="B48" s="473" t="s">
        <v>775</v>
      </c>
      <c r="C48" s="474"/>
      <c r="D48" s="475"/>
      <c r="E48" s="157">
        <v>0</v>
      </c>
      <c r="F48" s="157">
        <v>0</v>
      </c>
      <c r="G48" s="157">
        <v>0</v>
      </c>
      <c r="H48" s="157">
        <v>0</v>
      </c>
      <c r="I48" s="157">
        <v>0</v>
      </c>
      <c r="J48" s="158">
        <f>SUM(E48:I48)</f>
        <v>0</v>
      </c>
      <c r="M48" s="140"/>
    </row>
    <row r="49" spans="1:13" s="22" customFormat="1" x14ac:dyDescent="0.35">
      <c r="A49" s="155">
        <v>26</v>
      </c>
      <c r="B49" s="473" t="s">
        <v>452</v>
      </c>
      <c r="C49" s="474"/>
      <c r="D49" s="475"/>
      <c r="E49" s="157">
        <v>28201.519999999997</v>
      </c>
      <c r="F49" s="157">
        <v>185857.18314157706</v>
      </c>
      <c r="G49" s="157">
        <v>30661.807063922417</v>
      </c>
      <c r="H49" s="157">
        <v>10129.249794500534</v>
      </c>
      <c r="I49" s="157">
        <v>0</v>
      </c>
      <c r="J49" s="158">
        <f t="shared" si="5"/>
        <v>254849.76</v>
      </c>
      <c r="M49" s="140"/>
    </row>
    <row r="50" spans="1:13" s="22" customFormat="1" x14ac:dyDescent="0.35">
      <c r="A50" s="155">
        <v>27</v>
      </c>
      <c r="B50" s="479" t="s">
        <v>238</v>
      </c>
      <c r="C50" s="480"/>
      <c r="D50" s="481"/>
      <c r="E50" s="160">
        <f>SUM(E43:E49)</f>
        <v>28201.519999999997</v>
      </c>
      <c r="F50" s="160">
        <f>SUM(F43:F49)</f>
        <v>202808.99531647324</v>
      </c>
      <c r="G50" s="160">
        <f>SUM(G43:G49)</f>
        <v>289383.55631178815</v>
      </c>
      <c r="H50" s="160">
        <f>SUM(H43:H49)</f>
        <v>30416.328371738586</v>
      </c>
      <c r="I50" s="160">
        <f>SUM(I43:I49)</f>
        <v>0</v>
      </c>
      <c r="J50" s="160">
        <f t="shared" si="5"/>
        <v>550810.39999999991</v>
      </c>
      <c r="M50" s="140"/>
    </row>
    <row r="51" spans="1:13" s="22" customFormat="1" x14ac:dyDescent="0.35">
      <c r="A51" s="161"/>
      <c r="B51" s="485"/>
      <c r="C51" s="485"/>
      <c r="D51" s="485"/>
      <c r="E51" s="485"/>
      <c r="F51" s="485"/>
      <c r="G51" s="485"/>
      <c r="H51" s="164"/>
      <c r="I51" s="164"/>
      <c r="J51" s="164"/>
      <c r="M51" s="140"/>
    </row>
    <row r="52" spans="1:13" s="22" customFormat="1" x14ac:dyDescent="0.35">
      <c r="A52" s="482" t="s">
        <v>233</v>
      </c>
      <c r="B52" s="483"/>
      <c r="C52" s="483"/>
      <c r="D52" s="483"/>
      <c r="E52" s="483"/>
      <c r="F52" s="483"/>
      <c r="G52" s="483"/>
      <c r="H52" s="483"/>
      <c r="I52" s="483"/>
      <c r="J52" s="484"/>
      <c r="M52" s="140"/>
    </row>
    <row r="53" spans="1:13" s="22" customFormat="1" x14ac:dyDescent="0.35">
      <c r="A53" s="155">
        <v>28</v>
      </c>
      <c r="B53" s="473" t="s">
        <v>282</v>
      </c>
      <c r="C53" s="474"/>
      <c r="D53" s="475"/>
      <c r="E53" s="157">
        <v>446482.46000000008</v>
      </c>
      <c r="F53" s="157">
        <v>327559.23328029522</v>
      </c>
      <c r="G53" s="157">
        <v>56544.301082322534</v>
      </c>
      <c r="H53" s="157">
        <v>27759.00563738227</v>
      </c>
      <c r="I53" s="157">
        <v>0</v>
      </c>
      <c r="J53" s="158">
        <f>SUM(E53:I53)</f>
        <v>858345</v>
      </c>
      <c r="M53" s="140"/>
    </row>
    <row r="54" spans="1:13" s="22" customFormat="1" x14ac:dyDescent="0.35">
      <c r="A54" s="155">
        <v>29</v>
      </c>
      <c r="B54" s="473" t="s">
        <v>294</v>
      </c>
      <c r="C54" s="474"/>
      <c r="D54" s="475"/>
      <c r="E54" s="157">
        <v>0</v>
      </c>
      <c r="F54" s="157">
        <v>0</v>
      </c>
      <c r="G54" s="157">
        <v>0</v>
      </c>
      <c r="H54" s="157">
        <v>0</v>
      </c>
      <c r="I54" s="157">
        <v>0</v>
      </c>
      <c r="J54" s="158">
        <f>SUM(E54:I54)</f>
        <v>0</v>
      </c>
      <c r="M54" s="140"/>
    </row>
    <row r="55" spans="1:13" s="22" customFormat="1" x14ac:dyDescent="0.35">
      <c r="A55" s="155">
        <v>30</v>
      </c>
      <c r="B55" s="473" t="s">
        <v>295</v>
      </c>
      <c r="C55" s="474"/>
      <c r="D55" s="475"/>
      <c r="E55" s="157">
        <v>97205.14</v>
      </c>
      <c r="F55" s="157">
        <v>212746.80229687504</v>
      </c>
      <c r="G55" s="157">
        <v>18071.961686189701</v>
      </c>
      <c r="H55" s="157">
        <v>19216.336016935249</v>
      </c>
      <c r="I55" s="157">
        <v>0</v>
      </c>
      <c r="J55" s="158">
        <f t="shared" ref="J55:J57" si="6">SUM(E55:I55)</f>
        <v>347240.24</v>
      </c>
      <c r="M55" s="140"/>
    </row>
    <row r="56" spans="1:13" s="22" customFormat="1" x14ac:dyDescent="0.35">
      <c r="A56" s="155">
        <v>31</v>
      </c>
      <c r="B56" s="473" t="s">
        <v>296</v>
      </c>
      <c r="C56" s="474"/>
      <c r="D56" s="475"/>
      <c r="E56" s="157">
        <v>187915.02000000002</v>
      </c>
      <c r="F56" s="157">
        <v>160235.4961366512</v>
      </c>
      <c r="G56" s="157">
        <v>47895.523524335425</v>
      </c>
      <c r="H56" s="157">
        <v>12361.360339013365</v>
      </c>
      <c r="I56" s="157">
        <v>0</v>
      </c>
      <c r="J56" s="158">
        <f t="shared" si="6"/>
        <v>408407.4</v>
      </c>
      <c r="M56" s="140"/>
    </row>
    <row r="57" spans="1:13" s="22" customFormat="1" x14ac:dyDescent="0.35">
      <c r="A57" s="155">
        <v>32</v>
      </c>
      <c r="B57" s="479" t="s">
        <v>231</v>
      </c>
      <c r="C57" s="480"/>
      <c r="D57" s="481"/>
      <c r="E57" s="160">
        <f>SUM(E53:E56)</f>
        <v>731602.62000000011</v>
      </c>
      <c r="F57" s="160">
        <f>SUM(F53:F56)</f>
        <v>700541.53171382146</v>
      </c>
      <c r="G57" s="160">
        <f>SUM(G53:G56)</f>
        <v>122511.78629284767</v>
      </c>
      <c r="H57" s="160">
        <f>SUM(H53:H56)</f>
        <v>59336.701993330884</v>
      </c>
      <c r="I57" s="160">
        <f>SUM(I53:I56)</f>
        <v>0</v>
      </c>
      <c r="J57" s="160">
        <f t="shared" si="6"/>
        <v>1613992.6400000001</v>
      </c>
      <c r="M57" s="140"/>
    </row>
    <row r="58" spans="1:13" s="22" customFormat="1" x14ac:dyDescent="0.35">
      <c r="A58" s="161"/>
      <c r="B58" s="162"/>
      <c r="C58" s="162"/>
      <c r="D58" s="163"/>
      <c r="E58" s="164"/>
      <c r="F58" s="164"/>
      <c r="G58" s="164"/>
      <c r="H58" s="164"/>
      <c r="I58" s="164"/>
      <c r="J58" s="164"/>
      <c r="M58" s="140"/>
    </row>
    <row r="59" spans="1:13" s="22" customFormat="1" x14ac:dyDescent="0.35">
      <c r="A59" s="482" t="s">
        <v>232</v>
      </c>
      <c r="B59" s="483"/>
      <c r="C59" s="483"/>
      <c r="D59" s="483"/>
      <c r="E59" s="483"/>
      <c r="F59" s="483"/>
      <c r="G59" s="483"/>
      <c r="H59" s="483"/>
      <c r="I59" s="483"/>
      <c r="J59" s="484"/>
      <c r="M59" s="140"/>
    </row>
    <row r="60" spans="1:13" s="22" customFormat="1" x14ac:dyDescent="0.35">
      <c r="A60" s="155">
        <v>33</v>
      </c>
      <c r="B60" s="473" t="s">
        <v>297</v>
      </c>
      <c r="C60" s="474"/>
      <c r="D60" s="475"/>
      <c r="E60" s="157">
        <v>946873.84000000008</v>
      </c>
      <c r="F60" s="157">
        <v>2739660.879958665</v>
      </c>
      <c r="G60" s="157">
        <v>330833.78430425044</v>
      </c>
      <c r="H60" s="157">
        <v>242764.11573708456</v>
      </c>
      <c r="I60" s="157">
        <v>0</v>
      </c>
      <c r="J60" s="158">
        <f>SUM(E60:I60)</f>
        <v>4260132.62</v>
      </c>
      <c r="M60" s="140"/>
    </row>
    <row r="61" spans="1:13" s="22" customFormat="1" x14ac:dyDescent="0.35">
      <c r="A61" s="155">
        <v>34</v>
      </c>
      <c r="B61" s="473" t="s">
        <v>298</v>
      </c>
      <c r="C61" s="474"/>
      <c r="D61" s="475"/>
      <c r="E61" s="157">
        <v>125358.89</v>
      </c>
      <c r="F61" s="157">
        <v>109757.81132874814</v>
      </c>
      <c r="G61" s="157">
        <v>12121.64750910455</v>
      </c>
      <c r="H61" s="157">
        <v>6918.7311621473091</v>
      </c>
      <c r="I61" s="157">
        <v>0</v>
      </c>
      <c r="J61" s="158">
        <f t="shared" ref="J61:J67" si="7">SUM(E61:I61)</f>
        <v>254157.08</v>
      </c>
      <c r="M61" s="140"/>
    </row>
    <row r="62" spans="1:13" s="22" customFormat="1" x14ac:dyDescent="0.35">
      <c r="A62" s="155">
        <v>35</v>
      </c>
      <c r="B62" s="473" t="s">
        <v>302</v>
      </c>
      <c r="C62" s="474"/>
      <c r="D62" s="475"/>
      <c r="E62" s="157">
        <v>0</v>
      </c>
      <c r="F62" s="157">
        <v>0</v>
      </c>
      <c r="G62" s="157">
        <v>0</v>
      </c>
      <c r="H62" s="157">
        <v>0</v>
      </c>
      <c r="I62" s="157">
        <v>0</v>
      </c>
      <c r="J62" s="158">
        <f t="shared" si="7"/>
        <v>0</v>
      </c>
      <c r="M62" s="140"/>
    </row>
    <row r="63" spans="1:13" s="22" customFormat="1" x14ac:dyDescent="0.35">
      <c r="A63" s="155">
        <v>36</v>
      </c>
      <c r="B63" s="473" t="s">
        <v>315</v>
      </c>
      <c r="C63" s="474"/>
      <c r="D63" s="475"/>
      <c r="E63" s="157">
        <v>0</v>
      </c>
      <c r="F63" s="157">
        <v>434.4</v>
      </c>
      <c r="G63" s="157">
        <v>0</v>
      </c>
      <c r="H63" s="157">
        <v>0</v>
      </c>
      <c r="I63" s="157">
        <v>0</v>
      </c>
      <c r="J63" s="158">
        <f t="shared" si="7"/>
        <v>434.4</v>
      </c>
      <c r="M63" s="140"/>
    </row>
    <row r="64" spans="1:13" s="22" customFormat="1" x14ac:dyDescent="0.35">
      <c r="A64" s="155">
        <v>37</v>
      </c>
      <c r="B64" s="473" t="s">
        <v>316</v>
      </c>
      <c r="C64" s="474"/>
      <c r="D64" s="475"/>
      <c r="E64" s="157">
        <v>26181.469999999998</v>
      </c>
      <c r="F64" s="157">
        <v>13985.807802245487</v>
      </c>
      <c r="G64" s="157">
        <v>1254.7133898521197</v>
      </c>
      <c r="H64" s="157">
        <v>1816.1388079023948</v>
      </c>
      <c r="I64" s="157">
        <v>0</v>
      </c>
      <c r="J64" s="158">
        <f t="shared" si="7"/>
        <v>43238.130000000005</v>
      </c>
      <c r="M64" s="140"/>
    </row>
    <row r="65" spans="1:13" s="22" customFormat="1" x14ac:dyDescent="0.35">
      <c r="A65" s="155">
        <v>38</v>
      </c>
      <c r="B65" s="473" t="s">
        <v>317</v>
      </c>
      <c r="C65" s="474"/>
      <c r="D65" s="475"/>
      <c r="E65" s="157">
        <v>0</v>
      </c>
      <c r="F65" s="157">
        <v>0</v>
      </c>
      <c r="G65" s="157">
        <v>0</v>
      </c>
      <c r="H65" s="157">
        <v>0</v>
      </c>
      <c r="I65" s="157">
        <v>0</v>
      </c>
      <c r="J65" s="158">
        <f t="shared" si="7"/>
        <v>0</v>
      </c>
      <c r="M65" s="140"/>
    </row>
    <row r="66" spans="1:13" s="22" customFormat="1" x14ac:dyDescent="0.35">
      <c r="A66" s="155">
        <v>39</v>
      </c>
      <c r="B66" s="473" t="s">
        <v>299</v>
      </c>
      <c r="C66" s="474"/>
      <c r="D66" s="475"/>
      <c r="E66" s="157">
        <v>549.97</v>
      </c>
      <c r="F66" s="157">
        <v>7032.7748074822666</v>
      </c>
      <c r="G66" s="157">
        <v>0</v>
      </c>
      <c r="H66" s="157">
        <v>365.46519251773424</v>
      </c>
      <c r="I66" s="157">
        <v>0</v>
      </c>
      <c r="J66" s="158">
        <f t="shared" ref="J66" si="8">SUM(E66:I66)</f>
        <v>7948.2100000000009</v>
      </c>
      <c r="M66" s="140"/>
    </row>
    <row r="67" spans="1:13" s="22" customFormat="1" x14ac:dyDescent="0.35">
      <c r="A67" s="155">
        <v>40</v>
      </c>
      <c r="B67" s="479" t="s">
        <v>237</v>
      </c>
      <c r="C67" s="480"/>
      <c r="D67" s="481"/>
      <c r="E67" s="160">
        <f>SUM(E60:E66)</f>
        <v>1098964.17</v>
      </c>
      <c r="F67" s="160">
        <f>SUM(F60:F66)</f>
        <v>2870871.6738971411</v>
      </c>
      <c r="G67" s="160">
        <f>SUM(G60:G66)</f>
        <v>344210.14520320715</v>
      </c>
      <c r="H67" s="160">
        <f>SUM(H60:H66)</f>
        <v>251864.450899652</v>
      </c>
      <c r="I67" s="160">
        <f>SUM(I60:I66)</f>
        <v>0</v>
      </c>
      <c r="J67" s="160">
        <f t="shared" si="7"/>
        <v>4565910.4400000004</v>
      </c>
      <c r="M67" s="140"/>
    </row>
    <row r="68" spans="1:13" s="22" customFormat="1" x14ac:dyDescent="0.35">
      <c r="A68" s="161"/>
      <c r="B68" s="162"/>
      <c r="C68" s="162"/>
      <c r="D68" s="163"/>
      <c r="E68" s="164"/>
      <c r="F68" s="164"/>
      <c r="G68" s="164"/>
      <c r="H68" s="164"/>
      <c r="I68" s="164"/>
      <c r="J68" s="164"/>
      <c r="M68" s="140"/>
    </row>
    <row r="69" spans="1:13" s="22" customFormat="1" x14ac:dyDescent="0.35">
      <c r="A69" s="482" t="s">
        <v>236</v>
      </c>
      <c r="B69" s="483"/>
      <c r="C69" s="483"/>
      <c r="D69" s="483"/>
      <c r="E69" s="483"/>
      <c r="F69" s="483"/>
      <c r="G69" s="483"/>
      <c r="H69" s="483"/>
      <c r="I69" s="483"/>
      <c r="J69" s="484"/>
      <c r="M69" s="140"/>
    </row>
    <row r="70" spans="1:13" s="22" customFormat="1" x14ac:dyDescent="0.35">
      <c r="A70" s="155">
        <v>41</v>
      </c>
      <c r="B70" s="473" t="s">
        <v>239</v>
      </c>
      <c r="C70" s="474"/>
      <c r="D70" s="475"/>
      <c r="E70" s="157">
        <v>98579.07</v>
      </c>
      <c r="F70" s="157">
        <v>20368.231464851004</v>
      </c>
      <c r="G70" s="157">
        <v>591.20405104911674</v>
      </c>
      <c r="H70" s="157">
        <v>979.48448409988157</v>
      </c>
      <c r="I70" s="157">
        <v>0</v>
      </c>
      <c r="J70" s="158">
        <f t="shared" ref="J70:J73" si="9">SUM(E70:I70)</f>
        <v>120517.99000000002</v>
      </c>
      <c r="M70" s="140"/>
    </row>
    <row r="71" spans="1:13" s="22" customFormat="1" x14ac:dyDescent="0.35">
      <c r="A71" s="155">
        <v>42</v>
      </c>
      <c r="B71" s="473" t="s">
        <v>289</v>
      </c>
      <c r="C71" s="474"/>
      <c r="D71" s="475"/>
      <c r="E71" s="157">
        <v>54898.71</v>
      </c>
      <c r="F71" s="157">
        <v>55615.76424860071</v>
      </c>
      <c r="G71" s="157">
        <v>2550.4521169110549</v>
      </c>
      <c r="H71" s="157">
        <v>9155.5636344882332</v>
      </c>
      <c r="I71" s="157">
        <v>0</v>
      </c>
      <c r="J71" s="158">
        <f t="shared" si="9"/>
        <v>122220.49</v>
      </c>
      <c r="M71" s="140"/>
    </row>
    <row r="72" spans="1:13" s="22" customFormat="1" x14ac:dyDescent="0.35">
      <c r="A72" s="155">
        <v>43</v>
      </c>
      <c r="B72" s="473" t="s">
        <v>240</v>
      </c>
      <c r="C72" s="474"/>
      <c r="D72" s="475"/>
      <c r="E72" s="157">
        <v>60039.43</v>
      </c>
      <c r="F72" s="157">
        <v>0</v>
      </c>
      <c r="G72" s="157">
        <v>0</v>
      </c>
      <c r="H72" s="157">
        <v>0</v>
      </c>
      <c r="I72" s="157">
        <v>0</v>
      </c>
      <c r="J72" s="158">
        <f t="shared" si="9"/>
        <v>60039.43</v>
      </c>
      <c r="M72" s="140"/>
    </row>
    <row r="73" spans="1:13" s="22" customFormat="1" x14ac:dyDescent="0.35">
      <c r="A73" s="155">
        <v>44</v>
      </c>
      <c r="B73" s="473" t="s">
        <v>308</v>
      </c>
      <c r="C73" s="474"/>
      <c r="D73" s="475"/>
      <c r="E73" s="157">
        <v>146457.70000000001</v>
      </c>
      <c r="F73" s="157">
        <v>301.04837942540087</v>
      </c>
      <c r="G73" s="157">
        <v>912.79771136204147</v>
      </c>
      <c r="H73" s="157">
        <v>14.15390921255762</v>
      </c>
      <c r="I73" s="157">
        <v>9284</v>
      </c>
      <c r="J73" s="158">
        <f t="shared" si="9"/>
        <v>156969.70000000001</v>
      </c>
      <c r="M73" s="140"/>
    </row>
    <row r="74" spans="1:13" s="22" customFormat="1" x14ac:dyDescent="0.35">
      <c r="A74" s="155">
        <v>45</v>
      </c>
      <c r="B74" s="473" t="s">
        <v>286</v>
      </c>
      <c r="C74" s="474"/>
      <c r="D74" s="475"/>
      <c r="E74" s="157">
        <v>33259.989999999991</v>
      </c>
      <c r="F74" s="157">
        <v>74.438273508265056</v>
      </c>
      <c r="G74" s="157">
        <v>11.116632556934704</v>
      </c>
      <c r="H74" s="157">
        <v>6.3450939348002198</v>
      </c>
      <c r="I74" s="157">
        <v>655395.04</v>
      </c>
      <c r="J74" s="158">
        <f>SUM(E74:I74)</f>
        <v>688746.93</v>
      </c>
      <c r="M74" s="140"/>
    </row>
    <row r="75" spans="1:13" s="22" customFormat="1" x14ac:dyDescent="0.35">
      <c r="A75" s="155">
        <v>46</v>
      </c>
      <c r="B75" s="473" t="s">
        <v>287</v>
      </c>
      <c r="C75" s="474"/>
      <c r="D75" s="475"/>
      <c r="E75" s="157">
        <v>1728194.62</v>
      </c>
      <c r="F75" s="157">
        <v>206460.04</v>
      </c>
      <c r="G75" s="157">
        <v>161131.45000000001</v>
      </c>
      <c r="H75" s="157">
        <v>0</v>
      </c>
      <c r="I75" s="157">
        <v>0</v>
      </c>
      <c r="J75" s="158">
        <f t="shared" ref="J75:J77" si="10">SUM(E75:I75)</f>
        <v>2095786.11</v>
      </c>
      <c r="M75" s="140"/>
    </row>
    <row r="76" spans="1:13" s="22" customFormat="1" x14ac:dyDescent="0.35">
      <c r="A76" s="155">
        <v>47</v>
      </c>
      <c r="B76" s="473" t="s">
        <v>318</v>
      </c>
      <c r="C76" s="474"/>
      <c r="D76" s="475"/>
      <c r="E76" s="157">
        <v>218359.94</v>
      </c>
      <c r="F76" s="157">
        <v>330155.75561922521</v>
      </c>
      <c r="G76" s="157">
        <v>42807.50086637104</v>
      </c>
      <c r="H76" s="157">
        <v>31072.113514403722</v>
      </c>
      <c r="I76" s="157">
        <v>0</v>
      </c>
      <c r="J76" s="158">
        <f t="shared" si="10"/>
        <v>622395.31000000006</v>
      </c>
      <c r="M76" s="140"/>
    </row>
    <row r="77" spans="1:13" s="22" customFormat="1" x14ac:dyDescent="0.35">
      <c r="A77" s="155">
        <v>48</v>
      </c>
      <c r="B77" s="473" t="s">
        <v>285</v>
      </c>
      <c r="C77" s="474"/>
      <c r="D77" s="475"/>
      <c r="E77" s="157">
        <v>133065.1</v>
      </c>
      <c r="F77" s="157">
        <v>233953.07368742125</v>
      </c>
      <c r="G77" s="157">
        <v>31345.439356545656</v>
      </c>
      <c r="H77" s="157">
        <v>10093.966956033066</v>
      </c>
      <c r="I77" s="157">
        <v>0</v>
      </c>
      <c r="J77" s="158">
        <f t="shared" si="10"/>
        <v>408457.58</v>
      </c>
      <c r="M77" s="140"/>
    </row>
    <row r="78" spans="1:13" s="22" customFormat="1" x14ac:dyDescent="0.35">
      <c r="A78" s="155">
        <v>49</v>
      </c>
      <c r="B78" s="479" t="s">
        <v>279</v>
      </c>
      <c r="C78" s="480"/>
      <c r="D78" s="481"/>
      <c r="E78" s="160">
        <f>SUM(E70:E77)</f>
        <v>2472854.56</v>
      </c>
      <c r="F78" s="160">
        <f t="shared" ref="F78:I78" si="11">SUM(F70:F77)</f>
        <v>846928.35167303181</v>
      </c>
      <c r="G78" s="160">
        <f t="shared" si="11"/>
        <v>239349.96073479584</v>
      </c>
      <c r="H78" s="160">
        <f t="shared" si="11"/>
        <v>51321.627592172255</v>
      </c>
      <c r="I78" s="160">
        <f t="shared" si="11"/>
        <v>664679.04</v>
      </c>
      <c r="J78" s="160">
        <f t="shared" ref="J78" si="12">SUM(E78:I78)</f>
        <v>4275133.54</v>
      </c>
      <c r="M78" s="140"/>
    </row>
    <row r="79" spans="1:13" s="22" customFormat="1" x14ac:dyDescent="0.35">
      <c r="A79" s="161"/>
      <c r="B79" s="162"/>
      <c r="C79" s="162"/>
      <c r="D79" s="163"/>
      <c r="E79" s="164"/>
      <c r="F79" s="164"/>
      <c r="G79" s="164"/>
      <c r="H79" s="164"/>
      <c r="I79" s="164"/>
      <c r="J79" s="164"/>
      <c r="M79" s="140"/>
    </row>
    <row r="80" spans="1:13" s="22" customFormat="1" x14ac:dyDescent="0.35">
      <c r="A80" s="482" t="s">
        <v>303</v>
      </c>
      <c r="B80" s="483"/>
      <c r="C80" s="483"/>
      <c r="D80" s="483"/>
      <c r="E80" s="483"/>
      <c r="F80" s="483"/>
      <c r="G80" s="483"/>
      <c r="H80" s="483"/>
      <c r="I80" s="483"/>
      <c r="J80" s="484"/>
      <c r="M80" s="140"/>
    </row>
    <row r="81" spans="1:13" s="22" customFormat="1" x14ac:dyDescent="0.35">
      <c r="A81" s="155">
        <v>50</v>
      </c>
      <c r="B81" s="473" t="s">
        <v>304</v>
      </c>
      <c r="C81" s="474"/>
      <c r="D81" s="475"/>
      <c r="E81" s="98"/>
      <c r="F81" s="98"/>
      <c r="G81" s="98"/>
      <c r="H81" s="98"/>
      <c r="I81" s="157">
        <v>703.36</v>
      </c>
      <c r="J81" s="158">
        <f>I81</f>
        <v>703.36</v>
      </c>
      <c r="M81" s="140"/>
    </row>
    <row r="82" spans="1:13" s="22" customFormat="1" x14ac:dyDescent="0.35">
      <c r="A82" s="155">
        <v>51</v>
      </c>
      <c r="B82" s="473" t="s">
        <v>309</v>
      </c>
      <c r="C82" s="474"/>
      <c r="D82" s="475"/>
      <c r="E82" s="98"/>
      <c r="F82" s="98"/>
      <c r="G82" s="98"/>
      <c r="H82" s="98"/>
      <c r="I82" s="157">
        <v>0</v>
      </c>
      <c r="J82" s="158">
        <f>I82</f>
        <v>0</v>
      </c>
      <c r="M82" s="140"/>
    </row>
    <row r="83" spans="1:13" s="22" customFormat="1" x14ac:dyDescent="0.35">
      <c r="A83" s="155">
        <v>52</v>
      </c>
      <c r="B83" s="473" t="s">
        <v>310</v>
      </c>
      <c r="C83" s="474"/>
      <c r="D83" s="475"/>
      <c r="E83" s="98"/>
      <c r="F83" s="98"/>
      <c r="G83" s="98"/>
      <c r="H83" s="98"/>
      <c r="I83" s="157">
        <v>326772.15999999997</v>
      </c>
      <c r="J83" s="158">
        <f t="shared" ref="J83:J84" si="13">I83</f>
        <v>326772.15999999997</v>
      </c>
      <c r="M83" s="140"/>
    </row>
    <row r="84" spans="1:13" s="22" customFormat="1" x14ac:dyDescent="0.35">
      <c r="A84" s="155">
        <v>53</v>
      </c>
      <c r="B84" s="473" t="s">
        <v>305</v>
      </c>
      <c r="C84" s="474"/>
      <c r="D84" s="475"/>
      <c r="E84" s="98"/>
      <c r="F84" s="98"/>
      <c r="G84" s="98"/>
      <c r="H84" s="98"/>
      <c r="I84" s="157">
        <v>89502.83</v>
      </c>
      <c r="J84" s="158">
        <f t="shared" si="13"/>
        <v>89502.83</v>
      </c>
      <c r="M84" s="140"/>
    </row>
    <row r="85" spans="1:13" s="22" customFormat="1" x14ac:dyDescent="0.35">
      <c r="A85" s="155">
        <v>54</v>
      </c>
      <c r="B85" s="479" t="s">
        <v>306</v>
      </c>
      <c r="C85" s="480"/>
      <c r="D85" s="481"/>
      <c r="E85" s="160">
        <v>0</v>
      </c>
      <c r="F85" s="160">
        <v>0</v>
      </c>
      <c r="G85" s="160">
        <v>0</v>
      </c>
      <c r="H85" s="160">
        <v>0</v>
      </c>
      <c r="I85" s="160">
        <f>SUM(I81:I84)</f>
        <v>416978.35</v>
      </c>
      <c r="J85" s="160">
        <f>SUM(E85:I85)</f>
        <v>416978.35</v>
      </c>
      <c r="M85" s="140"/>
    </row>
    <row r="86" spans="1:13" s="22" customFormat="1" x14ac:dyDescent="0.35">
      <c r="A86" s="161"/>
      <c r="B86" s="162"/>
      <c r="C86" s="162"/>
      <c r="D86" s="163"/>
      <c r="E86" s="164"/>
      <c r="F86" s="164"/>
      <c r="G86" s="164"/>
      <c r="H86" s="164"/>
      <c r="I86" s="164"/>
      <c r="J86" s="164"/>
      <c r="M86" s="140"/>
    </row>
    <row r="87" spans="1:13" s="22" customFormat="1" x14ac:dyDescent="0.35">
      <c r="A87" s="482" t="s">
        <v>273</v>
      </c>
      <c r="B87" s="483"/>
      <c r="C87" s="483"/>
      <c r="D87" s="483"/>
      <c r="E87" s="483"/>
      <c r="F87" s="483"/>
      <c r="G87" s="483"/>
      <c r="H87" s="483"/>
      <c r="I87" s="483"/>
      <c r="J87" s="484"/>
      <c r="M87" s="140"/>
    </row>
    <row r="88" spans="1:13" s="22" customFormat="1" x14ac:dyDescent="0.35">
      <c r="A88" s="155">
        <v>55</v>
      </c>
      <c r="B88" s="473" t="s">
        <v>274</v>
      </c>
      <c r="C88" s="474"/>
      <c r="D88" s="475"/>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79" t="s">
        <v>270</v>
      </c>
      <c r="C89" s="480"/>
      <c r="D89" s="481"/>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79" t="s">
        <v>241</v>
      </c>
      <c r="C91" s="480"/>
      <c r="D91" s="481"/>
      <c r="E91" s="160">
        <f>E78+E67+E57+E50+E40+E89+E85</f>
        <v>14522595.940381825</v>
      </c>
      <c r="F91" s="160">
        <f>F78+F67+F57+F50+F40+F89+F85</f>
        <v>24854544.379505318</v>
      </c>
      <c r="G91" s="160">
        <f>G78+G67+G57+G50+G40+G89+G85</f>
        <v>3981756.2478900878</v>
      </c>
      <c r="H91" s="160">
        <f>H78+H67+H57+H50+H40+H89+H85</f>
        <v>2075063.4026045909</v>
      </c>
      <c r="I91" s="160">
        <f>I78+I67+I57+I50+I40+I89+I85</f>
        <v>1364680.5796181741</v>
      </c>
      <c r="J91" s="160">
        <f>SUM(E91:I91)</f>
        <v>46798640.54999999</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73" t="s">
        <v>2</v>
      </c>
      <c r="C93" s="474"/>
      <c r="D93" s="475"/>
      <c r="E93" s="158">
        <f>E91*-1</f>
        <v>-14522595.940381825</v>
      </c>
      <c r="F93" s="157">
        <v>11183294.287500178</v>
      </c>
      <c r="G93" s="157">
        <v>1791589.9491589726</v>
      </c>
      <c r="H93" s="157">
        <v>933674.11376424017</v>
      </c>
      <c r="I93" s="157">
        <v>614037.58995843283</v>
      </c>
      <c r="J93" s="160">
        <f>SUM(E93:I93)</f>
        <v>-9.3132257461547852E-10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76" t="s">
        <v>242</v>
      </c>
      <c r="C95" s="477"/>
      <c r="D95" s="478"/>
      <c r="E95" s="169">
        <f>E93+E91</f>
        <v>0</v>
      </c>
      <c r="F95" s="169">
        <f t="shared" ref="F95:I95" si="14">F93+F91</f>
        <v>36037838.667005494</v>
      </c>
      <c r="G95" s="169">
        <f t="shared" si="14"/>
        <v>5773346.1970490608</v>
      </c>
      <c r="H95" s="169">
        <f t="shared" si="14"/>
        <v>3008737.516368831</v>
      </c>
      <c r="I95" s="169">
        <f t="shared" si="14"/>
        <v>1978718.1695766069</v>
      </c>
      <c r="J95" s="169">
        <f>SUM(E95:I95)</f>
        <v>46798640.54999999</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72" t="s">
        <v>4</v>
      </c>
      <c r="C97" s="472"/>
      <c r="D97" s="170"/>
      <c r="E97" s="170"/>
      <c r="F97" s="150">
        <v>11234</v>
      </c>
      <c r="G97" s="170"/>
      <c r="H97" s="170"/>
      <c r="I97" s="170"/>
      <c r="J97" s="170"/>
      <c r="M97" s="140"/>
    </row>
    <row r="98" spans="1:13" s="22" customFormat="1" x14ac:dyDescent="0.35">
      <c r="A98" s="155">
        <v>61</v>
      </c>
      <c r="B98" s="472" t="s">
        <v>5</v>
      </c>
      <c r="C98" s="472"/>
      <c r="D98" s="170"/>
      <c r="E98" s="170"/>
      <c r="F98" s="158">
        <f>IFERROR(F95/F97,"")</f>
        <v>3207.9258204562484</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72" t="s">
        <v>307</v>
      </c>
      <c r="C100" s="472"/>
      <c r="D100" s="170"/>
      <c r="E100" s="170"/>
      <c r="F100" s="170"/>
      <c r="G100" s="170"/>
      <c r="H100" s="170"/>
      <c r="I100" s="170"/>
      <c r="J100" s="157">
        <v>46798641</v>
      </c>
      <c r="M100" s="140"/>
    </row>
    <row r="101" spans="1:13" s="22" customFormat="1" x14ac:dyDescent="0.35">
      <c r="A101" s="155">
        <v>63</v>
      </c>
      <c r="B101" s="472" t="s">
        <v>10</v>
      </c>
      <c r="C101" s="472"/>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72" t="s">
        <v>202</v>
      </c>
      <c r="C103" s="472"/>
      <c r="D103" s="100"/>
      <c r="E103" s="172">
        <f>IFERROR(E91/SUM(F91:I91),"")</f>
        <v>0.44994967989522888</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90625" customWidth="1"/>
    <col min="2" max="2" width="16" customWidth="1"/>
    <col min="3" max="3" width="29.08984375" customWidth="1"/>
    <col min="4" max="6" width="19" customWidth="1"/>
    <col min="7" max="9" width="21.089843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4.9" customHeight="1" x14ac:dyDescent="0.5">
      <c r="A3" s="488" t="s">
        <v>763</v>
      </c>
      <c r="B3" s="488"/>
      <c r="C3" s="488"/>
      <c r="D3" s="488"/>
      <c r="E3" s="488"/>
      <c r="F3" s="488"/>
      <c r="G3" s="488"/>
      <c r="H3" s="488"/>
      <c r="I3" s="488"/>
      <c r="J3" s="488"/>
    </row>
    <row r="4" spans="1:12" x14ac:dyDescent="0.35">
      <c r="H4" s="61"/>
      <c r="J4" s="130"/>
      <c r="K4" s="130"/>
      <c r="L4" s="130"/>
    </row>
    <row r="5" spans="1:12" x14ac:dyDescent="0.35">
      <c r="A5" s="1" t="s">
        <v>773</v>
      </c>
      <c r="C5" s="419" t="str">
        <f>'As-Filed Schedule 1'!C5</f>
        <v>Diversus Health</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489" t="s">
        <v>488</v>
      </c>
      <c r="B13" s="489"/>
      <c r="C13" s="489"/>
      <c r="D13" s="489"/>
      <c r="E13" s="489"/>
      <c r="F13" s="489"/>
      <c r="G13" s="489"/>
      <c r="H13" s="489"/>
      <c r="I13" s="79"/>
      <c r="J13" s="62"/>
    </row>
    <row r="14" spans="1:12" ht="15" customHeight="1" x14ac:dyDescent="0.35">
      <c r="A14" s="489"/>
      <c r="B14" s="489"/>
      <c r="C14" s="489"/>
      <c r="D14" s="489"/>
      <c r="E14" s="489"/>
      <c r="F14" s="489"/>
      <c r="G14" s="489"/>
      <c r="H14" s="489"/>
      <c r="I14" s="79"/>
      <c r="J14" s="62"/>
    </row>
    <row r="15" spans="1:12" ht="15" customHeight="1" x14ac:dyDescent="0.35">
      <c r="A15" s="489"/>
      <c r="B15" s="489"/>
      <c r="C15" s="489"/>
      <c r="D15" s="489"/>
      <c r="E15" s="489"/>
      <c r="F15" s="489"/>
      <c r="G15" s="489"/>
      <c r="H15" s="489"/>
      <c r="I15" s="79"/>
      <c r="J15" s="62"/>
    </row>
    <row r="16" spans="1:12" x14ac:dyDescent="0.35">
      <c r="A16" s="489"/>
      <c r="B16" s="489"/>
      <c r="C16" s="489"/>
      <c r="D16" s="489"/>
      <c r="E16" s="489"/>
      <c r="F16" s="489"/>
      <c r="G16" s="489"/>
      <c r="H16" s="489"/>
      <c r="I16" s="62"/>
    </row>
    <row r="17" spans="1:25" x14ac:dyDescent="0.35">
      <c r="A17" s="174"/>
      <c r="B17" s="174"/>
      <c r="C17" s="174"/>
      <c r="D17" s="174"/>
      <c r="E17" s="174"/>
      <c r="F17" s="174"/>
      <c r="G17" s="174"/>
      <c r="H17" s="174"/>
      <c r="I17" s="127"/>
    </row>
    <row r="18" spans="1:25" x14ac:dyDescent="0.35">
      <c r="A18" s="174"/>
      <c r="B18" s="490">
        <v>1</v>
      </c>
      <c r="C18" s="491"/>
      <c r="D18" s="175">
        <v>2</v>
      </c>
      <c r="E18" s="175">
        <v>3</v>
      </c>
      <c r="F18" s="175">
        <v>4</v>
      </c>
      <c r="G18" s="175">
        <v>5</v>
      </c>
      <c r="H18" s="175">
        <v>6</v>
      </c>
      <c r="I18" s="127"/>
    </row>
    <row r="19" spans="1:25" s="4" customFormat="1" ht="52.5" customHeight="1" x14ac:dyDescent="0.35">
      <c r="A19" s="176"/>
      <c r="B19" s="492" t="s">
        <v>181</v>
      </c>
      <c r="C19" s="492"/>
      <c r="D19" s="151" t="s">
        <v>268</v>
      </c>
      <c r="E19" s="151" t="s">
        <v>457</v>
      </c>
      <c r="F19" s="151" t="s">
        <v>453</v>
      </c>
      <c r="G19" s="151" t="s">
        <v>489</v>
      </c>
      <c r="H19" s="151" t="s">
        <v>490</v>
      </c>
      <c r="I19" s="36"/>
    </row>
    <row r="20" spans="1:25" x14ac:dyDescent="0.35">
      <c r="A20" s="177">
        <v>1</v>
      </c>
      <c r="B20" s="487" t="s">
        <v>935</v>
      </c>
      <c r="C20" s="487"/>
      <c r="D20" s="178">
        <v>2</v>
      </c>
      <c r="E20" s="179">
        <v>12</v>
      </c>
      <c r="F20" s="179">
        <v>1</v>
      </c>
      <c r="G20" s="180">
        <v>423430.01</v>
      </c>
      <c r="H20" s="181">
        <f>IF(G20-$D$8&gt;0,G20-$D$8,0)</f>
        <v>90580.010000000009</v>
      </c>
      <c r="I20" s="36"/>
    </row>
    <row r="21" spans="1:25" x14ac:dyDescent="0.35">
      <c r="A21" s="177">
        <f>A20+1</f>
        <v>2</v>
      </c>
      <c r="B21" s="487" t="s">
        <v>936</v>
      </c>
      <c r="C21" s="487"/>
      <c r="D21" s="178">
        <v>2</v>
      </c>
      <c r="E21" s="179">
        <v>12</v>
      </c>
      <c r="F21" s="179">
        <v>1</v>
      </c>
      <c r="G21" s="180">
        <v>353715.74961817428</v>
      </c>
      <c r="H21" s="181">
        <f>IF(G21-$D$8&gt;0,G21-$D$8,0)</f>
        <v>20865.749618174275</v>
      </c>
      <c r="I21" s="48"/>
    </row>
    <row r="22" spans="1:25" x14ac:dyDescent="0.35">
      <c r="A22" s="177">
        <f t="shared" ref="A22:A30" si="0">A21+1</f>
        <v>3</v>
      </c>
      <c r="B22" s="487" t="s">
        <v>937</v>
      </c>
      <c r="C22" s="487"/>
      <c r="D22" s="178">
        <v>2</v>
      </c>
      <c r="E22" s="179">
        <v>12</v>
      </c>
      <c r="F22" s="179">
        <v>1</v>
      </c>
      <c r="G22" s="180">
        <v>237724.73000000016</v>
      </c>
      <c r="H22" s="181">
        <f>IF(G22-$D$8&gt;0,G22-$D$8,0)</f>
        <v>0</v>
      </c>
      <c r="I22" s="48"/>
    </row>
    <row r="23" spans="1:25" x14ac:dyDescent="0.35">
      <c r="A23" s="177">
        <f t="shared" si="0"/>
        <v>4</v>
      </c>
      <c r="B23" s="487" t="s">
        <v>938</v>
      </c>
      <c r="C23" s="487"/>
      <c r="D23" s="178">
        <v>2</v>
      </c>
      <c r="E23" s="179">
        <v>12</v>
      </c>
      <c r="F23" s="179">
        <v>1</v>
      </c>
      <c r="G23" s="180">
        <v>228924.03727509509</v>
      </c>
      <c r="H23" s="181">
        <f>IF(G23-$D$8&gt;0,G23-$D$8,0)</f>
        <v>0</v>
      </c>
      <c r="I23" s="48"/>
    </row>
    <row r="24" spans="1:25" x14ac:dyDescent="0.35">
      <c r="A24" s="177">
        <f t="shared" si="0"/>
        <v>5</v>
      </c>
      <c r="B24" s="487" t="s">
        <v>939</v>
      </c>
      <c r="C24" s="487"/>
      <c r="D24" s="178">
        <v>2</v>
      </c>
      <c r="E24" s="179">
        <v>12</v>
      </c>
      <c r="F24" s="179">
        <v>1</v>
      </c>
      <c r="G24" s="180">
        <v>195011.21863368686</v>
      </c>
      <c r="H24" s="181">
        <f>IF(G24-$D$8&gt;0,G24-$D$8,0)</f>
        <v>0</v>
      </c>
    </row>
    <row r="25" spans="1:25" x14ac:dyDescent="0.35">
      <c r="A25" s="182">
        <f t="shared" si="0"/>
        <v>6</v>
      </c>
      <c r="B25" s="100"/>
      <c r="C25" s="100"/>
      <c r="D25" s="100"/>
      <c r="E25" s="100"/>
      <c r="F25" s="100"/>
      <c r="G25" s="100"/>
      <c r="H25" s="183">
        <f>SUM(H20:H24)</f>
        <v>111445.75961817428</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111445.75961817428</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36328125" customWidth="1"/>
    <col min="2" max="2" width="12.6328125" customWidth="1"/>
    <col min="3" max="3" width="48.54296875" customWidth="1"/>
    <col min="4" max="4" width="16.08984375" customWidth="1"/>
  </cols>
  <sheetData>
    <row r="1" spans="1:4" ht="26" x14ac:dyDescent="0.6">
      <c r="A1" s="3" t="s">
        <v>774</v>
      </c>
      <c r="B1" s="3"/>
    </row>
    <row r="2" spans="1:4" ht="21" x14ac:dyDescent="0.5">
      <c r="A2" s="2" t="s">
        <v>772</v>
      </c>
      <c r="B2" s="2"/>
    </row>
    <row r="3" spans="1:4" ht="24.9" customHeight="1" x14ac:dyDescent="0.5">
      <c r="A3" s="5" t="s">
        <v>764</v>
      </c>
    </row>
    <row r="5" spans="1:4" x14ac:dyDescent="0.35">
      <c r="A5" s="1" t="s">
        <v>773</v>
      </c>
      <c r="C5" s="419" t="str">
        <f>'As-Filed Schedule 1'!C5</f>
        <v>Diversus Health</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37" t="s">
        <v>940</v>
      </c>
      <c r="C10" s="537"/>
      <c r="D10" s="537"/>
    </row>
    <row r="11" spans="1:4" ht="15" customHeight="1" x14ac:dyDescent="0.35">
      <c r="B11" s="537"/>
      <c r="C11" s="537"/>
      <c r="D11" s="537"/>
    </row>
    <row r="12" spans="1:4" x14ac:dyDescent="0.35">
      <c r="B12" s="537"/>
      <c r="C12" s="537"/>
      <c r="D12" s="537"/>
    </row>
    <row r="13" spans="1:4" x14ac:dyDescent="0.35">
      <c r="B13" s="537"/>
      <c r="C13" s="537"/>
      <c r="D13" s="537"/>
    </row>
    <row r="15" spans="1:4" ht="15" customHeight="1" x14ac:dyDescent="0.35">
      <c r="A15" t="s">
        <v>245</v>
      </c>
      <c r="B15" s="537" t="s">
        <v>941</v>
      </c>
      <c r="C15" s="537"/>
      <c r="D15" s="537"/>
    </row>
    <row r="16" spans="1:4" ht="15" customHeight="1" x14ac:dyDescent="0.35">
      <c r="B16" s="537"/>
      <c r="C16" s="537"/>
      <c r="D16" s="537"/>
    </row>
    <row r="17" spans="1:4" x14ac:dyDescent="0.35">
      <c r="B17" s="537"/>
      <c r="C17" s="537"/>
      <c r="D17" s="537"/>
    </row>
    <row r="18" spans="1:4" x14ac:dyDescent="0.35">
      <c r="B18" s="537"/>
      <c r="C18" s="537"/>
      <c r="D18" s="537"/>
    </row>
    <row r="20" spans="1:4" ht="15" customHeight="1" x14ac:dyDescent="0.35">
      <c r="A20" t="s">
        <v>246</v>
      </c>
      <c r="B20" s="536"/>
      <c r="C20" s="536"/>
      <c r="D20" s="536"/>
    </row>
    <row r="21" spans="1:4" ht="15" customHeight="1" x14ac:dyDescent="0.35">
      <c r="B21" s="536"/>
      <c r="C21" s="536"/>
      <c r="D21" s="536"/>
    </row>
    <row r="22" spans="1:4" x14ac:dyDescent="0.35">
      <c r="B22" s="536"/>
      <c r="C22" s="536"/>
      <c r="D22" s="536"/>
    </row>
    <row r="23" spans="1:4" x14ac:dyDescent="0.35">
      <c r="B23" s="536"/>
      <c r="C23" s="536"/>
      <c r="D23" s="536"/>
    </row>
    <row r="25" spans="1:4" ht="15" customHeight="1" x14ac:dyDescent="0.35">
      <c r="A25" t="s">
        <v>247</v>
      </c>
      <c r="B25" s="536"/>
      <c r="C25" s="536"/>
      <c r="D25" s="536"/>
    </row>
    <row r="26" spans="1:4" ht="15" customHeight="1" x14ac:dyDescent="0.35">
      <c r="B26" s="536"/>
      <c r="C26" s="536"/>
      <c r="D26" s="536"/>
    </row>
    <row r="27" spans="1:4" x14ac:dyDescent="0.35">
      <c r="B27" s="536"/>
      <c r="C27" s="536"/>
      <c r="D27" s="536"/>
    </row>
    <row r="28" spans="1:4" x14ac:dyDescent="0.35">
      <c r="B28" s="536"/>
      <c r="C28" s="536"/>
      <c r="D28" s="536"/>
    </row>
    <row r="30" spans="1:4" ht="15" customHeight="1" x14ac:dyDescent="0.35">
      <c r="A30" t="s">
        <v>248</v>
      </c>
      <c r="B30" s="536"/>
      <c r="C30" s="536"/>
      <c r="D30" s="536"/>
    </row>
    <row r="31" spans="1:4" ht="15" customHeight="1" x14ac:dyDescent="0.35">
      <c r="B31" s="536"/>
      <c r="C31" s="536"/>
      <c r="D31" s="536"/>
    </row>
    <row r="32" spans="1:4" x14ac:dyDescent="0.35">
      <c r="B32" s="536"/>
      <c r="C32" s="536"/>
      <c r="D32" s="536"/>
    </row>
    <row r="33" spans="1:4" x14ac:dyDescent="0.35">
      <c r="B33" s="536"/>
      <c r="C33" s="536"/>
      <c r="D33" s="536"/>
    </row>
    <row r="35" spans="1:4" x14ac:dyDescent="0.35">
      <c r="A35" t="s">
        <v>205</v>
      </c>
      <c r="D35" s="118" t="s">
        <v>177</v>
      </c>
    </row>
    <row r="37" spans="1:4" x14ac:dyDescent="0.35">
      <c r="A37" t="s">
        <v>206</v>
      </c>
    </row>
    <row r="38" spans="1:4" x14ac:dyDescent="0.35">
      <c r="A38" s="535"/>
      <c r="B38" s="535"/>
      <c r="C38" s="535"/>
      <c r="D38" s="535"/>
    </row>
    <row r="39" spans="1:4" x14ac:dyDescent="0.35">
      <c r="A39" s="535"/>
      <c r="B39" s="535"/>
      <c r="C39" s="535"/>
      <c r="D39" s="535"/>
    </row>
    <row r="40" spans="1:4" x14ac:dyDescent="0.35">
      <c r="A40" s="535"/>
      <c r="B40" s="535"/>
      <c r="C40" s="535"/>
      <c r="D40" s="535"/>
    </row>
    <row r="41" spans="1:4" x14ac:dyDescent="0.35">
      <c r="A41" s="535"/>
      <c r="B41" s="535"/>
      <c r="C41" s="535"/>
      <c r="D41" s="535"/>
    </row>
    <row r="42" spans="1:4" x14ac:dyDescent="0.35">
      <c r="A42" s="535"/>
      <c r="B42" s="535"/>
      <c r="C42" s="535"/>
      <c r="D42" s="535"/>
    </row>
    <row r="43" spans="1:4" x14ac:dyDescent="0.35">
      <c r="A43" s="535"/>
      <c r="B43" s="535"/>
      <c r="C43" s="535"/>
      <c r="D43" s="535"/>
    </row>
    <row r="44" spans="1:4" x14ac:dyDescent="0.35">
      <c r="A44" s="535"/>
      <c r="B44" s="535"/>
      <c r="C44" s="535"/>
      <c r="D44" s="535"/>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A38:D44"/>
    <mergeCell ref="B20:D23"/>
    <mergeCell ref="B25:D28"/>
    <mergeCell ref="B30:D33"/>
    <mergeCell ref="B10:D13"/>
    <mergeCell ref="B15:D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90625" customWidth="1"/>
    <col min="4" max="7" width="20.36328125" customWidth="1"/>
    <col min="8" max="8" width="20.90625" style="69" customWidth="1"/>
    <col min="9" max="9" width="36.6328125" customWidth="1"/>
    <col min="11" max="11" width="43.90625" customWidth="1"/>
    <col min="12" max="13" width="32.6328125" customWidth="1"/>
  </cols>
  <sheetData>
    <row r="1" spans="1:24" ht="26" x14ac:dyDescent="0.6">
      <c r="A1" s="3" t="s">
        <v>774</v>
      </c>
      <c r="B1" s="3"/>
      <c r="C1" s="3"/>
    </row>
    <row r="2" spans="1:24" ht="21" x14ac:dyDescent="0.5">
      <c r="A2" s="2" t="s">
        <v>772</v>
      </c>
      <c r="B2" s="2"/>
      <c r="C2" s="2"/>
    </row>
    <row r="3" spans="1:24" ht="24.9" customHeight="1" x14ac:dyDescent="0.5">
      <c r="A3" s="5" t="s">
        <v>765</v>
      </c>
    </row>
    <row r="5" spans="1:24" x14ac:dyDescent="0.35">
      <c r="A5" s="1" t="s">
        <v>773</v>
      </c>
      <c r="C5" s="419" t="str">
        <f>'As-Filed Schedule 1'!C5</f>
        <v>Diversus Health</v>
      </c>
      <c r="D5" s="411"/>
    </row>
    <row r="6" spans="1:24" x14ac:dyDescent="0.35">
      <c r="A6" s="1" t="s">
        <v>0</v>
      </c>
      <c r="C6" s="35">
        <f>'As-Filed Schedule 1'!C6</f>
        <v>45473</v>
      </c>
      <c r="D6" s="412"/>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496" t="s">
        <v>922</v>
      </c>
      <c r="B9" s="496"/>
      <c r="C9" s="496"/>
      <c r="D9" s="496"/>
      <c r="E9" s="496"/>
      <c r="F9" s="496"/>
      <c r="G9" s="496"/>
      <c r="H9" s="496"/>
      <c r="I9" s="496"/>
      <c r="J9" s="64"/>
      <c r="K9" s="40"/>
      <c r="L9" s="40"/>
      <c r="M9" s="40"/>
      <c r="T9" s="65"/>
      <c r="U9" s="65"/>
      <c r="V9" s="65"/>
      <c r="W9" s="65"/>
      <c r="X9" s="65"/>
    </row>
    <row r="10" spans="1:24" ht="15" customHeight="1" x14ac:dyDescent="0.35">
      <c r="A10" s="496"/>
      <c r="B10" s="496"/>
      <c r="C10" s="496"/>
      <c r="D10" s="496"/>
      <c r="E10" s="496"/>
      <c r="F10" s="496"/>
      <c r="G10" s="496"/>
      <c r="H10" s="496"/>
      <c r="I10" s="496"/>
      <c r="J10" s="64"/>
      <c r="K10" s="40"/>
      <c r="L10" s="40"/>
      <c r="M10" s="40"/>
      <c r="T10" s="65"/>
      <c r="U10" s="65"/>
      <c r="V10" s="65"/>
      <c r="W10" s="65"/>
      <c r="X10" s="65"/>
    </row>
    <row r="11" spans="1:24" x14ac:dyDescent="0.35">
      <c r="A11" s="496"/>
      <c r="B11" s="496"/>
      <c r="C11" s="496"/>
      <c r="D11" s="496"/>
      <c r="E11" s="496"/>
      <c r="F11" s="496"/>
      <c r="G11" s="496"/>
      <c r="H11" s="496"/>
      <c r="I11" s="496"/>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497">
        <v>1</v>
      </c>
      <c r="C13" s="497"/>
      <c r="D13" s="175">
        <v>2</v>
      </c>
      <c r="E13" s="175">
        <v>3</v>
      </c>
      <c r="F13" s="175">
        <v>4</v>
      </c>
      <c r="G13" s="175">
        <v>5</v>
      </c>
      <c r="H13" s="175">
        <v>6</v>
      </c>
      <c r="I13" s="175">
        <v>7</v>
      </c>
      <c r="J13" s="64"/>
      <c r="T13" s="65"/>
      <c r="U13" s="65"/>
      <c r="V13" s="65"/>
      <c r="W13" s="65"/>
      <c r="X13" s="65"/>
    </row>
    <row r="14" spans="1:24" s="4" customFormat="1" ht="61.5" customHeight="1" x14ac:dyDescent="0.35">
      <c r="A14" s="191"/>
      <c r="B14" s="492" t="s">
        <v>277</v>
      </c>
      <c r="C14" s="498"/>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538" t="s">
        <v>942</v>
      </c>
      <c r="C15" s="538"/>
      <c r="D15" s="180">
        <v>448263.08</v>
      </c>
      <c r="E15" s="180">
        <v>448263.08</v>
      </c>
      <c r="F15" s="194">
        <f>IF(D15-E15&lt;0,0,D15-E15)</f>
        <v>0</v>
      </c>
      <c r="G15" s="195">
        <v>3</v>
      </c>
      <c r="H15" s="462">
        <v>6505</v>
      </c>
      <c r="I15" s="461" t="s">
        <v>944</v>
      </c>
      <c r="J15" s="66"/>
      <c r="T15" s="67"/>
      <c r="U15" s="67"/>
      <c r="V15" s="67"/>
      <c r="W15" s="67"/>
      <c r="X15" s="67"/>
    </row>
    <row r="16" spans="1:24" s="4" customFormat="1" x14ac:dyDescent="0.35">
      <c r="A16" s="182">
        <f>A15+1</f>
        <v>2</v>
      </c>
      <c r="B16" s="538" t="s">
        <v>943</v>
      </c>
      <c r="C16" s="538"/>
      <c r="D16" s="180">
        <v>2939316.55</v>
      </c>
      <c r="E16" s="180">
        <v>2939316.55</v>
      </c>
      <c r="F16" s="194">
        <f t="shared" ref="F16:F24" si="0">IF(D16-E16&lt;0,0,D16-E16)</f>
        <v>0</v>
      </c>
      <c r="G16" s="195">
        <v>3</v>
      </c>
      <c r="H16" s="462">
        <v>6540</v>
      </c>
      <c r="I16" s="461" t="s">
        <v>944</v>
      </c>
      <c r="J16" s="142"/>
      <c r="T16" s="67"/>
      <c r="U16" s="67"/>
      <c r="V16" s="67"/>
      <c r="W16" s="67"/>
      <c r="X16" s="67"/>
    </row>
    <row r="17" spans="1:24" s="4" customFormat="1" ht="15" customHeight="1" x14ac:dyDescent="0.35">
      <c r="A17" s="182">
        <f t="shared" ref="A17:A30" si="1">A16+1</f>
        <v>3</v>
      </c>
      <c r="B17" s="487"/>
      <c r="C17" s="487"/>
      <c r="D17" s="180"/>
      <c r="E17" s="180"/>
      <c r="F17" s="194">
        <f t="shared" si="0"/>
        <v>0</v>
      </c>
      <c r="G17" s="195"/>
      <c r="H17" s="178"/>
      <c r="I17" s="196"/>
      <c r="J17" s="66"/>
      <c r="T17" s="67"/>
      <c r="U17" s="67"/>
      <c r="V17" s="67"/>
      <c r="W17" s="67"/>
      <c r="X17" s="67"/>
    </row>
    <row r="18" spans="1:24" s="4" customFormat="1" ht="15" customHeight="1" x14ac:dyDescent="0.35">
      <c r="A18" s="182">
        <f t="shared" si="1"/>
        <v>4</v>
      </c>
      <c r="B18" s="487"/>
      <c r="C18" s="487"/>
      <c r="D18" s="180"/>
      <c r="E18" s="180"/>
      <c r="F18" s="194">
        <f t="shared" si="0"/>
        <v>0</v>
      </c>
      <c r="G18" s="195"/>
      <c r="H18" s="178"/>
      <c r="I18" s="196"/>
      <c r="J18" s="66"/>
      <c r="T18" s="67"/>
      <c r="U18" s="67"/>
      <c r="V18" s="67"/>
      <c r="W18" s="67"/>
      <c r="X18" s="67"/>
    </row>
    <row r="19" spans="1:24" s="4" customFormat="1" ht="15" customHeight="1" x14ac:dyDescent="0.35">
      <c r="A19" s="182">
        <f t="shared" si="1"/>
        <v>5</v>
      </c>
      <c r="B19" s="487"/>
      <c r="C19" s="487"/>
      <c r="D19" s="180"/>
      <c r="E19" s="180"/>
      <c r="F19" s="194">
        <f t="shared" si="0"/>
        <v>0</v>
      </c>
      <c r="G19" s="195"/>
      <c r="H19" s="178"/>
      <c r="I19" s="196"/>
      <c r="J19" s="66"/>
      <c r="T19" s="67"/>
      <c r="U19" s="67"/>
      <c r="V19" s="67"/>
      <c r="W19" s="67"/>
      <c r="X19" s="67"/>
    </row>
    <row r="20" spans="1:24" s="4" customFormat="1" ht="15" customHeight="1" x14ac:dyDescent="0.35">
      <c r="A20" s="182">
        <f t="shared" si="1"/>
        <v>6</v>
      </c>
      <c r="B20" s="487"/>
      <c r="C20" s="487"/>
      <c r="D20" s="180"/>
      <c r="E20" s="180"/>
      <c r="F20" s="194">
        <f t="shared" si="0"/>
        <v>0</v>
      </c>
      <c r="G20" s="195"/>
      <c r="H20" s="178"/>
      <c r="I20" s="196"/>
      <c r="J20" s="66"/>
      <c r="T20" s="67"/>
      <c r="U20" s="67"/>
      <c r="V20" s="67"/>
      <c r="W20" s="67"/>
      <c r="X20" s="67"/>
    </row>
    <row r="21" spans="1:24" s="4" customFormat="1" ht="15" customHeight="1" x14ac:dyDescent="0.35">
      <c r="A21" s="182">
        <f t="shared" si="1"/>
        <v>7</v>
      </c>
      <c r="B21" s="487"/>
      <c r="C21" s="487"/>
      <c r="D21" s="180"/>
      <c r="E21" s="180"/>
      <c r="F21" s="194">
        <f t="shared" si="0"/>
        <v>0</v>
      </c>
      <c r="G21" s="195"/>
      <c r="H21" s="178"/>
      <c r="I21" s="196"/>
      <c r="J21" s="66"/>
      <c r="T21" s="67"/>
      <c r="U21" s="67"/>
      <c r="V21" s="67"/>
      <c r="W21" s="67"/>
      <c r="X21" s="67"/>
    </row>
    <row r="22" spans="1:24" s="4" customFormat="1" ht="15" customHeight="1" x14ac:dyDescent="0.35">
      <c r="A22" s="182">
        <f t="shared" si="1"/>
        <v>8</v>
      </c>
      <c r="B22" s="487"/>
      <c r="C22" s="487"/>
      <c r="D22" s="180"/>
      <c r="E22" s="180"/>
      <c r="F22" s="194">
        <f t="shared" si="0"/>
        <v>0</v>
      </c>
      <c r="G22" s="195"/>
      <c r="H22" s="178"/>
      <c r="I22" s="196"/>
      <c r="J22" s="66"/>
      <c r="T22" s="67"/>
      <c r="U22" s="67"/>
      <c r="V22" s="67"/>
      <c r="W22" s="67"/>
      <c r="X22" s="67"/>
    </row>
    <row r="23" spans="1:24" s="4" customFormat="1" ht="15" customHeight="1" x14ac:dyDescent="0.35">
      <c r="A23" s="182">
        <f t="shared" si="1"/>
        <v>9</v>
      </c>
      <c r="B23" s="487"/>
      <c r="C23" s="487"/>
      <c r="D23" s="180"/>
      <c r="E23" s="180"/>
      <c r="F23" s="194">
        <f t="shared" si="0"/>
        <v>0</v>
      </c>
      <c r="G23" s="195"/>
      <c r="H23" s="178"/>
      <c r="I23" s="196"/>
      <c r="J23" s="66"/>
      <c r="T23" s="67"/>
      <c r="U23" s="67"/>
      <c r="V23" s="67"/>
      <c r="W23" s="67"/>
      <c r="X23" s="67"/>
    </row>
    <row r="24" spans="1:24" s="4" customFormat="1" ht="15" customHeight="1" x14ac:dyDescent="0.35">
      <c r="A24" s="182">
        <f t="shared" si="1"/>
        <v>10</v>
      </c>
      <c r="B24" s="487"/>
      <c r="C24" s="487"/>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495" t="s">
        <v>923</v>
      </c>
      <c r="B34" s="495"/>
      <c r="C34" s="495"/>
      <c r="D34" s="495"/>
      <c r="E34" s="495"/>
      <c r="F34" s="495"/>
      <c r="G34" s="495"/>
      <c r="H34" s="495"/>
      <c r="I34" s="495"/>
      <c r="J34" s="64"/>
      <c r="T34" s="65"/>
      <c r="U34" s="65"/>
      <c r="V34" s="65"/>
      <c r="W34" s="65"/>
      <c r="X34" s="65"/>
    </row>
    <row r="35" spans="1:24" x14ac:dyDescent="0.35">
      <c r="A35" s="495"/>
      <c r="B35" s="495"/>
      <c r="C35" s="495"/>
      <c r="D35" s="495"/>
      <c r="E35" s="495"/>
      <c r="F35" s="495"/>
      <c r="G35" s="495"/>
      <c r="H35" s="495"/>
      <c r="I35" s="495"/>
      <c r="J35" s="64"/>
      <c r="T35" s="65"/>
      <c r="U35" s="65"/>
      <c r="V35" s="65"/>
      <c r="W35" s="65"/>
      <c r="X35" s="65"/>
    </row>
    <row r="36" spans="1:24" x14ac:dyDescent="0.35">
      <c r="A36" s="495"/>
      <c r="B36" s="495"/>
      <c r="C36" s="495"/>
      <c r="D36" s="495"/>
      <c r="E36" s="495"/>
      <c r="F36" s="495"/>
      <c r="G36" s="495"/>
      <c r="H36" s="495"/>
      <c r="I36" s="495"/>
      <c r="J36" s="64"/>
      <c r="T36" s="65"/>
      <c r="U36" s="65"/>
      <c r="V36" s="65"/>
      <c r="W36" s="65"/>
      <c r="X36" s="65"/>
    </row>
    <row r="37" spans="1:24" x14ac:dyDescent="0.35">
      <c r="A37" s="495"/>
      <c r="B37" s="495"/>
      <c r="C37" s="495"/>
      <c r="D37" s="495"/>
      <c r="E37" s="495"/>
      <c r="F37" s="495"/>
      <c r="G37" s="495"/>
      <c r="H37" s="495"/>
      <c r="I37" s="495"/>
      <c r="J37" s="64"/>
      <c r="T37" s="65"/>
      <c r="U37" s="65"/>
      <c r="V37" s="65"/>
      <c r="W37" s="65"/>
      <c r="X37" s="65"/>
    </row>
    <row r="38" spans="1:24" x14ac:dyDescent="0.35">
      <c r="A38" s="495"/>
      <c r="B38" s="495"/>
      <c r="C38" s="495"/>
      <c r="D38" s="495"/>
      <c r="E38" s="495"/>
      <c r="F38" s="495"/>
      <c r="G38" s="495"/>
      <c r="H38" s="495"/>
      <c r="I38" s="495"/>
      <c r="J38" s="64"/>
      <c r="T38" s="65"/>
      <c r="U38" s="65"/>
      <c r="V38" s="65"/>
      <c r="W38" s="65"/>
      <c r="X38" s="65"/>
    </row>
    <row r="39" spans="1:24" x14ac:dyDescent="0.35">
      <c r="A39" s="495"/>
      <c r="B39" s="495"/>
      <c r="C39" s="495"/>
      <c r="D39" s="495"/>
      <c r="E39" s="495"/>
      <c r="F39" s="495"/>
      <c r="G39" s="495"/>
      <c r="H39" s="495"/>
      <c r="I39" s="495"/>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5:C15"/>
    <mergeCell ref="B16:C16"/>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08984375" bestFit="1" customWidth="1"/>
  </cols>
  <sheetData>
    <row r="1" spans="1:11" ht="26" x14ac:dyDescent="0.6">
      <c r="A1" s="3" t="s">
        <v>774</v>
      </c>
    </row>
    <row r="2" spans="1:11" ht="21" x14ac:dyDescent="0.5">
      <c r="A2" s="2" t="s">
        <v>772</v>
      </c>
    </row>
    <row r="3" spans="1:11" ht="24.9" customHeight="1" x14ac:dyDescent="0.5">
      <c r="A3" s="488" t="s">
        <v>766</v>
      </c>
      <c r="B3" s="488"/>
      <c r="C3" s="488"/>
      <c r="D3" s="488"/>
      <c r="E3" s="488"/>
      <c r="F3" s="488"/>
      <c r="G3" s="488"/>
      <c r="H3" s="488"/>
      <c r="I3" s="488"/>
      <c r="J3" s="488"/>
    </row>
    <row r="5" spans="1:11" x14ac:dyDescent="0.35">
      <c r="A5" s="1" t="s">
        <v>773</v>
      </c>
      <c r="C5" s="419" t="str">
        <f>'As-Filed Schedule 1'!C5</f>
        <v>Diversus Health</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02">
        <v>1</v>
      </c>
      <c r="C10" s="502"/>
      <c r="D10" s="23">
        <v>2</v>
      </c>
      <c r="E10" s="23">
        <v>3</v>
      </c>
      <c r="F10" s="23">
        <v>4</v>
      </c>
      <c r="G10" s="23">
        <v>5</v>
      </c>
      <c r="H10" s="23">
        <v>6</v>
      </c>
      <c r="I10" s="23">
        <v>7</v>
      </c>
    </row>
    <row r="11" spans="1:11" x14ac:dyDescent="0.35">
      <c r="B11" s="503" t="s">
        <v>178</v>
      </c>
      <c r="C11" s="503"/>
      <c r="D11" s="504" t="s">
        <v>180</v>
      </c>
      <c r="E11" s="505" t="s">
        <v>207</v>
      </c>
      <c r="F11" s="506"/>
      <c r="G11" s="505" t="s">
        <v>210</v>
      </c>
      <c r="H11" s="506"/>
      <c r="I11" s="503" t="s">
        <v>218</v>
      </c>
    </row>
    <row r="12" spans="1:11" ht="30" customHeight="1" x14ac:dyDescent="0.35">
      <c r="B12" s="503"/>
      <c r="C12" s="503"/>
      <c r="D12" s="504"/>
      <c r="E12" s="10" t="s">
        <v>208</v>
      </c>
      <c r="F12" s="10" t="s">
        <v>209</v>
      </c>
      <c r="G12" s="10" t="s">
        <v>208</v>
      </c>
      <c r="H12" s="10" t="s">
        <v>209</v>
      </c>
      <c r="I12" s="503"/>
    </row>
    <row r="13" spans="1:11" x14ac:dyDescent="0.35">
      <c r="A13" s="424" t="s">
        <v>838</v>
      </c>
      <c r="B13" s="204"/>
      <c r="C13" s="204"/>
      <c r="D13" s="204"/>
      <c r="E13" s="204"/>
      <c r="F13" s="204"/>
      <c r="G13" s="204"/>
      <c r="H13" s="204"/>
      <c r="I13" s="204"/>
      <c r="J13" s="100"/>
    </row>
    <row r="14" spans="1:11" x14ac:dyDescent="0.35">
      <c r="A14" s="24">
        <v>1</v>
      </c>
      <c r="B14" s="499" t="s">
        <v>211</v>
      </c>
      <c r="C14" s="499"/>
      <c r="D14" s="24" t="s">
        <v>12</v>
      </c>
      <c r="E14" s="26">
        <f>'As-Filed Schedule 2A'!F73</f>
        <v>3189973.6069380082</v>
      </c>
      <c r="F14" s="26">
        <f>'As-Filed Schedule 2A'!G73</f>
        <v>1435327.6033159853</v>
      </c>
      <c r="G14" s="26">
        <f>'As-Filed Schedule 2A'!J73</f>
        <v>245735.70928738636</v>
      </c>
      <c r="H14" s="26">
        <f>'As-Filed Schedule 2A'!K73</f>
        <v>110568.70373268651</v>
      </c>
      <c r="I14" s="68">
        <f>SUM(E14:H14)</f>
        <v>4981605.6232740656</v>
      </c>
    </row>
    <row r="15" spans="1:11" x14ac:dyDescent="0.35">
      <c r="A15" s="24">
        <v>2</v>
      </c>
      <c r="B15" s="499" t="s">
        <v>213</v>
      </c>
      <c r="C15" s="499"/>
      <c r="D15" s="24" t="s">
        <v>13</v>
      </c>
      <c r="E15" s="26">
        <f>'As-Filed Schedule 2B'!$F$73</f>
        <v>2761536.2936235201</v>
      </c>
      <c r="F15" s="26">
        <f>'As-Filed Schedule 2B'!G73</f>
        <v>1242552.3713349598</v>
      </c>
      <c r="G15" s="26">
        <f>'As-Filed Schedule 2B'!$J$73</f>
        <v>369791.15939029283</v>
      </c>
      <c r="H15" s="26">
        <f>'As-Filed Schedule 2B'!K73</f>
        <v>166387.41379574782</v>
      </c>
      <c r="I15" s="68">
        <f>SUM(E15:H15)</f>
        <v>4540267.2381445207</v>
      </c>
    </row>
    <row r="16" spans="1:11" x14ac:dyDescent="0.35">
      <c r="A16" s="24">
        <v>3</v>
      </c>
      <c r="B16" s="499" t="s">
        <v>201</v>
      </c>
      <c r="C16" s="499"/>
      <c r="D16" s="24" t="s">
        <v>14</v>
      </c>
      <c r="E16" s="26">
        <f>'As-Filed Schedule 2C'!$F$73</f>
        <v>15089308.044402834</v>
      </c>
      <c r="F16" s="26">
        <f>'As-Filed Schedule 2C'!G73</f>
        <v>6789429.3244195571</v>
      </c>
      <c r="G16" s="26">
        <f>'As-Filed Schedule 2C'!$J$73</f>
        <v>1243017.581092068</v>
      </c>
      <c r="H16" s="26">
        <f>'As-Filed Schedule 2C'!K73</f>
        <v>559295.36271651764</v>
      </c>
      <c r="I16" s="68">
        <f>SUM(E16:H16)</f>
        <v>23681050.312630977</v>
      </c>
      <c r="K16" s="48"/>
    </row>
    <row r="17" spans="1:11" x14ac:dyDescent="0.35">
      <c r="A17" s="24">
        <v>4</v>
      </c>
      <c r="B17" s="499" t="s">
        <v>212</v>
      </c>
      <c r="C17" s="499"/>
      <c r="D17" s="24" t="s">
        <v>179</v>
      </c>
      <c r="E17" s="26">
        <f>'As-Filed Schedule 2D'!$F$73</f>
        <v>3813726.4345409581</v>
      </c>
      <c r="F17" s="26">
        <f>'As-Filed Schedule 2D'!G73</f>
        <v>1715984.9884296765</v>
      </c>
      <c r="G17" s="26">
        <f>'As-Filed Schedule 2D'!$J$73</f>
        <v>216518.95283484389</v>
      </c>
      <c r="H17" s="26">
        <f>'As-Filed Schedule 2D'!K73</f>
        <v>97422.633519288167</v>
      </c>
      <c r="I17" s="68">
        <f>SUM(E17:H17)</f>
        <v>5843653.0093247667</v>
      </c>
    </row>
    <row r="18" spans="1:11" x14ac:dyDescent="0.35">
      <c r="A18" s="424" t="s">
        <v>791</v>
      </c>
      <c r="B18" s="204"/>
      <c r="C18" s="204"/>
      <c r="D18" s="204"/>
      <c r="E18" s="204"/>
      <c r="F18" s="204"/>
      <c r="G18" s="204"/>
      <c r="H18" s="204"/>
      <c r="I18" s="204"/>
      <c r="J18" s="100"/>
      <c r="K18" s="48"/>
    </row>
    <row r="19" spans="1:11" x14ac:dyDescent="0.35">
      <c r="A19" s="155">
        <v>5</v>
      </c>
      <c r="B19" s="500" t="s">
        <v>792</v>
      </c>
      <c r="C19" s="500"/>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00" t="s">
        <v>794</v>
      </c>
      <c r="C20" s="500"/>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00" t="s">
        <v>796</v>
      </c>
      <c r="C21" s="500"/>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00" t="s">
        <v>798</v>
      </c>
      <c r="C22" s="500"/>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00" t="s">
        <v>800</v>
      </c>
      <c r="C23" s="500"/>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00" t="s">
        <v>802</v>
      </c>
      <c r="C24" s="500"/>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00" t="s">
        <v>804</v>
      </c>
      <c r="C25" s="500"/>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00" t="s">
        <v>806</v>
      </c>
      <c r="C26" s="500"/>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01" t="s">
        <v>808</v>
      </c>
      <c r="C27" s="501"/>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24854544.379505321</v>
      </c>
      <c r="F28" s="18">
        <f t="shared" ref="F28:G28" si="1">SUM(F14:F27)</f>
        <v>11183294.287500178</v>
      </c>
      <c r="G28" s="18">
        <f t="shared" si="1"/>
        <v>2075063.4026045911</v>
      </c>
      <c r="H28" s="18">
        <f>SUM(H14:H27)</f>
        <v>933674.11376424017</v>
      </c>
    </row>
    <row r="29" spans="1:11" s="57" customFormat="1" ht="12" x14ac:dyDescent="0.3">
      <c r="D29" s="76" t="s">
        <v>216</v>
      </c>
      <c r="E29" s="58">
        <f>'As-Filed Schedule 1'!F91</f>
        <v>24854544.379505318</v>
      </c>
      <c r="G29" s="58">
        <f>'As-Filed Schedule 1'!H91</f>
        <v>2075063.4026045909</v>
      </c>
    </row>
    <row r="30" spans="1:11" s="57" customFormat="1" ht="12" x14ac:dyDescent="0.3">
      <c r="D30" s="76" t="s">
        <v>10</v>
      </c>
      <c r="E30" s="425">
        <f>E28-E29</f>
        <v>0</v>
      </c>
      <c r="G30" s="425">
        <f>G28-G29</f>
        <v>0</v>
      </c>
    </row>
    <row r="31" spans="1:11" s="57" customFormat="1" ht="12" x14ac:dyDescent="0.3">
      <c r="E31" s="76"/>
      <c r="F31" s="425"/>
      <c r="H31" s="425"/>
    </row>
    <row r="33" spans="1:10" x14ac:dyDescent="0.35">
      <c r="E33" s="10" t="s">
        <v>218</v>
      </c>
    </row>
    <row r="34" spans="1:10" x14ac:dyDescent="0.35">
      <c r="A34" s="24">
        <v>15</v>
      </c>
      <c r="B34" s="499" t="s">
        <v>219</v>
      </c>
      <c r="C34" s="499"/>
      <c r="D34" s="24" t="s">
        <v>110</v>
      </c>
      <c r="E34" s="26">
        <f>'As-Filed Schedule 3'!M167</f>
        <v>5773346.1970490608</v>
      </c>
      <c r="I34" s="18">
        <f>SUM(I14:I27)+E34</f>
        <v>44819922.380423389</v>
      </c>
      <c r="J34" s="71" t="s">
        <v>3</v>
      </c>
    </row>
    <row r="35" spans="1:10" ht="12.75" customHeight="1" x14ac:dyDescent="0.35">
      <c r="D35" s="76" t="s">
        <v>217</v>
      </c>
      <c r="E35" s="58">
        <f>'As-Filed Schedule 1'!G95</f>
        <v>5773346.1970490608</v>
      </c>
    </row>
    <row r="36" spans="1:10" ht="12.75" customHeight="1" x14ac:dyDescent="0.35">
      <c r="D36" s="76" t="s">
        <v>10</v>
      </c>
      <c r="E36" s="59">
        <f>E34-E35</f>
        <v>0</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6328125" customWidth="1"/>
    <col min="2" max="2" width="16" customWidth="1"/>
    <col min="3" max="3" width="19.453125" customWidth="1"/>
    <col min="4" max="4" width="15.453125" customWidth="1"/>
    <col min="5" max="5" width="2.36328125" customWidth="1"/>
    <col min="6" max="8" width="18.54296875" customWidth="1"/>
    <col min="9" max="9" width="2.6328125" customWidth="1"/>
    <col min="10" max="12" width="18.54296875" customWidth="1"/>
    <col min="13" max="13" width="2.6328125" customWidth="1"/>
    <col min="14" max="15" width="12.08984375" customWidth="1"/>
    <col min="16" max="16" width="24.54296875" customWidth="1"/>
  </cols>
  <sheetData>
    <row r="1" spans="1:19" ht="26" x14ac:dyDescent="0.6">
      <c r="A1" s="3" t="s">
        <v>774</v>
      </c>
    </row>
    <row r="2" spans="1:19" ht="21" x14ac:dyDescent="0.5">
      <c r="A2" s="2" t="s">
        <v>772</v>
      </c>
    </row>
    <row r="3" spans="1:19" ht="24.9" customHeight="1" x14ac:dyDescent="0.5">
      <c r="A3" s="488" t="s">
        <v>767</v>
      </c>
      <c r="B3" s="488"/>
      <c r="C3" s="488"/>
      <c r="D3" s="488"/>
      <c r="E3" s="488"/>
      <c r="F3" s="488"/>
    </row>
    <row r="4" spans="1:19" x14ac:dyDescent="0.35">
      <c r="A4" s="48"/>
    </row>
    <row r="5" spans="1:19" x14ac:dyDescent="0.35">
      <c r="A5" s="1" t="s">
        <v>773</v>
      </c>
      <c r="C5" s="419" t="str">
        <f>'As-Filed Schedule 1'!C5</f>
        <v>Diversus Health</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948</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02">
        <v>1</v>
      </c>
      <c r="C12" s="502"/>
      <c r="D12" s="502"/>
      <c r="F12" s="23">
        <v>2</v>
      </c>
      <c r="G12" s="23">
        <v>3</v>
      </c>
      <c r="H12" s="23">
        <v>4</v>
      </c>
      <c r="J12" s="23">
        <v>5</v>
      </c>
      <c r="K12" s="23">
        <v>6</v>
      </c>
      <c r="L12" s="23">
        <v>7</v>
      </c>
      <c r="N12" s="23">
        <v>8</v>
      </c>
      <c r="O12" s="23">
        <v>9</v>
      </c>
      <c r="Q12" s="40"/>
      <c r="R12" s="40"/>
      <c r="S12" s="40"/>
    </row>
    <row r="13" spans="1:19" x14ac:dyDescent="0.35">
      <c r="B13" s="511" t="s">
        <v>255</v>
      </c>
      <c r="C13" s="512"/>
      <c r="D13" s="513"/>
      <c r="F13" s="505" t="s">
        <v>261</v>
      </c>
      <c r="G13" s="510"/>
      <c r="H13" s="506"/>
      <c r="J13" s="505" t="s">
        <v>262</v>
      </c>
      <c r="K13" s="510"/>
      <c r="L13" s="506"/>
      <c r="N13" s="508" t="s">
        <v>250</v>
      </c>
      <c r="O13" s="508" t="s">
        <v>312</v>
      </c>
      <c r="Q13" s="40"/>
      <c r="R13" s="40"/>
      <c r="S13" s="40"/>
    </row>
    <row r="14" spans="1:19" ht="56.25" customHeight="1" x14ac:dyDescent="0.35">
      <c r="B14" s="514"/>
      <c r="C14" s="515"/>
      <c r="D14" s="516"/>
      <c r="F14" s="10" t="s">
        <v>214</v>
      </c>
      <c r="G14" s="151" t="s">
        <v>491</v>
      </c>
      <c r="H14" s="151" t="s">
        <v>215</v>
      </c>
      <c r="I14" s="100"/>
      <c r="J14" s="151" t="s">
        <v>214</v>
      </c>
      <c r="K14" s="151" t="s">
        <v>491</v>
      </c>
      <c r="L14" s="10" t="s">
        <v>215</v>
      </c>
      <c r="N14" s="509"/>
      <c r="O14" s="509"/>
    </row>
    <row r="15" spans="1:19" x14ac:dyDescent="0.35">
      <c r="A15" s="24">
        <v>1</v>
      </c>
      <c r="B15" s="542" t="s">
        <v>945</v>
      </c>
      <c r="C15" s="540"/>
      <c r="D15" s="541"/>
      <c r="F15" s="117">
        <v>2528777.6656233161</v>
      </c>
      <c r="G15" s="68">
        <f>IFERROR(F15*'As-Filed Schedule 1'!$E$103,0)</f>
        <v>1137822.7011734152</v>
      </c>
      <c r="H15" s="68">
        <f>SUM(F15:G15)</f>
        <v>3666600.366796731</v>
      </c>
      <c r="J15" s="117">
        <v>226.28</v>
      </c>
      <c r="K15" s="68">
        <f>IFERROR(J15*'As-Filed Schedule 1'!$E$103,0)</f>
        <v>101.81461356669239</v>
      </c>
      <c r="L15" s="68">
        <f>SUM(J15:K15)</f>
        <v>328.09461356669237</v>
      </c>
      <c r="N15" s="120">
        <v>15.909166666666652</v>
      </c>
      <c r="O15" s="120">
        <v>2045</v>
      </c>
    </row>
    <row r="16" spans="1:19" x14ac:dyDescent="0.35">
      <c r="A16" s="24">
        <v>2</v>
      </c>
      <c r="B16" s="542" t="s">
        <v>946</v>
      </c>
      <c r="C16" s="540"/>
      <c r="D16" s="541"/>
      <c r="F16" s="117">
        <v>661195.94131469203</v>
      </c>
      <c r="G16" s="68">
        <f>IFERROR(F16*'As-Filed Schedule 1'!$E$103,0)</f>
        <v>297504.90214257024</v>
      </c>
      <c r="H16" s="68">
        <f t="shared" ref="H16:H72" si="0">SUM(F16:G16)</f>
        <v>958700.84345726226</v>
      </c>
      <c r="J16" s="117">
        <v>0</v>
      </c>
      <c r="K16" s="68">
        <f>IFERROR(J16*'As-Filed Schedule 1'!$E$103,0)</f>
        <v>0</v>
      </c>
      <c r="L16" s="68">
        <f t="shared" ref="L16:L72" si="1">SUM(J16:K16)</f>
        <v>0</v>
      </c>
      <c r="N16" s="120">
        <v>4.4974999999999978</v>
      </c>
      <c r="O16" s="120">
        <v>822</v>
      </c>
    </row>
    <row r="17" spans="1:15" x14ac:dyDescent="0.35">
      <c r="A17" s="24">
        <v>3</v>
      </c>
      <c r="B17" s="542" t="s">
        <v>947</v>
      </c>
      <c r="C17" s="540"/>
      <c r="D17" s="541"/>
      <c r="F17" s="117">
        <v>0</v>
      </c>
      <c r="G17" s="68">
        <f>IFERROR(F17*'As-Filed Schedule 1'!$E$103,0)</f>
        <v>0</v>
      </c>
      <c r="H17" s="68">
        <f t="shared" si="0"/>
        <v>0</v>
      </c>
      <c r="J17" s="117">
        <v>245509.42928738636</v>
      </c>
      <c r="K17" s="68">
        <f>IFERROR(J17*'As-Filed Schedule 1'!$E$103,0)</f>
        <v>110466.88911911982</v>
      </c>
      <c r="L17" s="68">
        <f t="shared" si="1"/>
        <v>355976.31840650621</v>
      </c>
      <c r="N17" s="120">
        <v>1.7333333333333336</v>
      </c>
      <c r="O17" s="120">
        <v>0</v>
      </c>
    </row>
    <row r="18" spans="1:15" x14ac:dyDescent="0.35">
      <c r="A18" s="24">
        <v>4</v>
      </c>
      <c r="B18" s="539"/>
      <c r="C18" s="540"/>
      <c r="D18" s="541"/>
      <c r="F18" s="117"/>
      <c r="G18" s="68">
        <f>IFERROR(F18*'As-Filed Schedule 1'!$E$103,0)</f>
        <v>0</v>
      </c>
      <c r="H18" s="68">
        <f t="shared" si="0"/>
        <v>0</v>
      </c>
      <c r="J18" s="117"/>
      <c r="K18" s="68">
        <f>IFERROR(J18*'As-Filed Schedule 1'!$E$103,0)</f>
        <v>0</v>
      </c>
      <c r="L18" s="68">
        <f t="shared" si="1"/>
        <v>0</v>
      </c>
      <c r="N18" s="120"/>
      <c r="O18" s="448"/>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448"/>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448"/>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3189973.6069380082</v>
      </c>
      <c r="G73" s="18">
        <f t="shared" ref="G73:H73" si="2">SUM(G15:G72)</f>
        <v>1435327.6033159853</v>
      </c>
      <c r="H73" s="18">
        <f t="shared" si="2"/>
        <v>4625301.210253993</v>
      </c>
      <c r="J73" s="18">
        <f>SUM(J15:J72)</f>
        <v>245735.70928738636</v>
      </c>
      <c r="K73" s="18">
        <f t="shared" ref="K73:L73" si="3">SUM(K15:K72)</f>
        <v>110568.70373268651</v>
      </c>
      <c r="L73" s="18">
        <f t="shared" si="3"/>
        <v>356304.41302007291</v>
      </c>
      <c r="O73" s="83" t="s">
        <v>313</v>
      </c>
    </row>
    <row r="74" spans="1:15" ht="15" thickBot="1" x14ac:dyDescent="0.4">
      <c r="H74" s="37" t="s">
        <v>257</v>
      </c>
      <c r="L74" s="37" t="s">
        <v>258</v>
      </c>
    </row>
    <row r="75" spans="1:15" ht="16" thickBot="1" x14ac:dyDescent="0.4">
      <c r="A75" s="24">
        <v>60</v>
      </c>
      <c r="B75" s="143" t="s">
        <v>463</v>
      </c>
      <c r="C75" s="72"/>
      <c r="E75" s="72"/>
      <c r="F75" s="75">
        <f>H73+L73</f>
        <v>4981605.6232740656</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8:D18"/>
    <mergeCell ref="B19:D19"/>
    <mergeCell ref="B15:D15"/>
    <mergeCell ref="B16:D16"/>
    <mergeCell ref="B17:D17"/>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30:D30"/>
    <mergeCell ref="B31:D31"/>
    <mergeCell ref="B32:D32"/>
    <mergeCell ref="B33:D33"/>
    <mergeCell ref="B34:D34"/>
    <mergeCell ref="B25:D25"/>
    <mergeCell ref="B26:D26"/>
    <mergeCell ref="B27:D27"/>
    <mergeCell ref="B28:D28"/>
    <mergeCell ref="B20:D20"/>
    <mergeCell ref="B21:D21"/>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488" t="s">
        <v>768</v>
      </c>
      <c r="B3" s="488"/>
      <c r="C3" s="488"/>
      <c r="D3" s="488"/>
      <c r="E3" s="488"/>
      <c r="F3" s="488"/>
      <c r="G3" s="488"/>
      <c r="H3" s="488"/>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260</v>
      </c>
      <c r="C8" s="1"/>
      <c r="F8" s="119" t="s">
        <v>948</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11" t="s">
        <v>255</v>
      </c>
      <c r="C13" s="512"/>
      <c r="D13" s="513"/>
      <c r="F13" s="505" t="s">
        <v>261</v>
      </c>
      <c r="G13" s="510"/>
      <c r="H13" s="506"/>
      <c r="J13" s="505" t="s">
        <v>262</v>
      </c>
      <c r="K13" s="510"/>
      <c r="L13" s="506"/>
      <c r="N13" s="508" t="s">
        <v>250</v>
      </c>
      <c r="O13" s="504" t="s">
        <v>312</v>
      </c>
    </row>
    <row r="14" spans="1:15" ht="55.5" customHeight="1" x14ac:dyDescent="0.35">
      <c r="B14" s="514"/>
      <c r="C14" s="515"/>
      <c r="D14" s="516"/>
      <c r="E14" s="48"/>
      <c r="F14" s="10" t="s">
        <v>214</v>
      </c>
      <c r="G14" s="151" t="s">
        <v>491</v>
      </c>
      <c r="H14" s="151" t="s">
        <v>215</v>
      </c>
      <c r="I14" s="100"/>
      <c r="J14" s="151" t="s">
        <v>214</v>
      </c>
      <c r="K14" s="151" t="s">
        <v>491</v>
      </c>
      <c r="L14" s="10" t="s">
        <v>215</v>
      </c>
      <c r="M14" s="48"/>
      <c r="N14" s="509"/>
      <c r="O14" s="504"/>
    </row>
    <row r="15" spans="1:15" x14ac:dyDescent="0.35">
      <c r="A15" s="24">
        <v>1</v>
      </c>
      <c r="B15" s="463" t="s">
        <v>949</v>
      </c>
      <c r="C15" s="453"/>
      <c r="D15" s="454"/>
      <c r="F15" s="117">
        <v>1155736.29629058</v>
      </c>
      <c r="G15" s="181">
        <f>IFERROR(F15*'As-Filed Schedule 1'!$E$103,0)</f>
        <v>520023.17655924388</v>
      </c>
      <c r="H15" s="181">
        <f>SUM(F15:G15)</f>
        <v>1675759.4728498238</v>
      </c>
      <c r="I15" s="100"/>
      <c r="J15" s="180">
        <v>0</v>
      </c>
      <c r="K15" s="181">
        <f>IFERROR(J15*'As-Filed Schedule 1'!$E$103,0)</f>
        <v>0</v>
      </c>
      <c r="L15" s="68">
        <f>SUM(J15:K15)</f>
        <v>0</v>
      </c>
      <c r="N15" s="120">
        <v>10.213333333333333</v>
      </c>
      <c r="O15" s="120">
        <v>1296</v>
      </c>
    </row>
    <row r="16" spans="1:15" x14ac:dyDescent="0.35">
      <c r="A16" s="24">
        <v>2</v>
      </c>
      <c r="B16" s="463" t="s">
        <v>950</v>
      </c>
      <c r="C16" s="453"/>
      <c r="D16" s="454"/>
      <c r="F16" s="117">
        <v>1605799.9973329403</v>
      </c>
      <c r="G16" s="68">
        <f>IFERROR(F16*'As-Filed Schedule 1'!$E$103,0)</f>
        <v>722529.19477571594</v>
      </c>
      <c r="H16" s="68">
        <f t="shared" ref="H16:H72" si="0">SUM(F16:G16)</f>
        <v>2328329.1921086563</v>
      </c>
      <c r="J16" s="117">
        <v>0</v>
      </c>
      <c r="K16" s="68">
        <f>IFERROR(J16*'As-Filed Schedule 1'!$E$103,0)</f>
        <v>0</v>
      </c>
      <c r="L16" s="68">
        <f t="shared" ref="L16:L72" si="1">SUM(J16:K16)</f>
        <v>0</v>
      </c>
      <c r="N16" s="120">
        <v>13.514166666666668</v>
      </c>
      <c r="O16" s="120">
        <v>919</v>
      </c>
    </row>
    <row r="17" spans="1:15" x14ac:dyDescent="0.35">
      <c r="A17" s="24">
        <v>3</v>
      </c>
      <c r="B17" s="463" t="s">
        <v>951</v>
      </c>
      <c r="C17" s="453"/>
      <c r="D17" s="454"/>
      <c r="F17" s="117">
        <v>0</v>
      </c>
      <c r="G17" s="68">
        <f>IFERROR(F17*'As-Filed Schedule 1'!$E$103,0)</f>
        <v>0</v>
      </c>
      <c r="H17" s="68">
        <f t="shared" si="0"/>
        <v>0</v>
      </c>
      <c r="J17" s="117">
        <v>252772.80634175433</v>
      </c>
      <c r="K17" s="68">
        <f>IFERROR(J17*'As-Filed Schedule 1'!$E$103,0)</f>
        <v>113735.04329969104</v>
      </c>
      <c r="L17" s="68">
        <f t="shared" si="1"/>
        <v>366507.84964144538</v>
      </c>
      <c r="N17" s="120">
        <v>2.1531666666666673</v>
      </c>
      <c r="O17" s="120">
        <v>0</v>
      </c>
    </row>
    <row r="18" spans="1:15" x14ac:dyDescent="0.35">
      <c r="A18" s="24">
        <v>4</v>
      </c>
      <c r="B18" s="463" t="s">
        <v>952</v>
      </c>
      <c r="C18" s="453"/>
      <c r="D18" s="454"/>
      <c r="F18" s="117">
        <v>0</v>
      </c>
      <c r="G18" s="68">
        <f>IFERROR(F18*'As-Filed Schedule 1'!$E$103,0)</f>
        <v>0</v>
      </c>
      <c r="H18" s="68">
        <f t="shared" si="0"/>
        <v>0</v>
      </c>
      <c r="J18" s="117">
        <v>98544.933560766629</v>
      </c>
      <c r="K18" s="68">
        <f>IFERROR(J18*'As-Filed Schedule 1'!$E$103,0)</f>
        <v>44340.261310963542</v>
      </c>
      <c r="L18" s="68">
        <f t="shared" si="1"/>
        <v>142885.19487173017</v>
      </c>
      <c r="N18" s="120">
        <v>0.58333333333333337</v>
      </c>
      <c r="O18" s="120">
        <v>0</v>
      </c>
    </row>
    <row r="19" spans="1:15" x14ac:dyDescent="0.35">
      <c r="A19" s="24">
        <v>5</v>
      </c>
      <c r="B19" s="463" t="s">
        <v>953</v>
      </c>
      <c r="C19" s="453"/>
      <c r="D19" s="454"/>
      <c r="F19" s="117">
        <v>0</v>
      </c>
      <c r="G19" s="68">
        <f>IFERROR(F19*'As-Filed Schedule 1'!$E$103,0)</f>
        <v>0</v>
      </c>
      <c r="H19" s="68">
        <f t="shared" si="0"/>
        <v>0</v>
      </c>
      <c r="J19" s="117">
        <v>18473.419487771873</v>
      </c>
      <c r="K19" s="68">
        <f>IFERROR(J19*'As-Filed Schedule 1'!$E$103,0)</f>
        <v>8312.1091850932371</v>
      </c>
      <c r="L19" s="68">
        <f t="shared" si="1"/>
        <v>26785.528672865112</v>
      </c>
      <c r="N19" s="120">
        <v>0</v>
      </c>
      <c r="O19" s="120">
        <v>0</v>
      </c>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2761536.2936235201</v>
      </c>
      <c r="G73" s="18">
        <f t="shared" ref="G73:H73" si="2">SUM(G15:G72)</f>
        <v>1242552.3713349598</v>
      </c>
      <c r="H73" s="18">
        <f t="shared" si="2"/>
        <v>4004088.6649584798</v>
      </c>
      <c r="J73" s="18">
        <f>SUM(J15:J72)</f>
        <v>369791.15939029283</v>
      </c>
      <c r="K73" s="18">
        <f t="shared" ref="K73:L73" si="3">SUM(K15:K72)</f>
        <v>166387.41379574782</v>
      </c>
      <c r="L73" s="18">
        <f t="shared" si="3"/>
        <v>536178.57318604062</v>
      </c>
      <c r="O73" s="83" t="s">
        <v>313</v>
      </c>
    </row>
    <row r="74" spans="1:15" ht="15" thickBot="1" x14ac:dyDescent="0.4">
      <c r="H74" s="37" t="s">
        <v>257</v>
      </c>
      <c r="L74" s="37" t="s">
        <v>258</v>
      </c>
    </row>
    <row r="75" spans="1:15" s="72" customFormat="1" ht="16" thickBot="1" x14ac:dyDescent="0.4">
      <c r="A75" s="24">
        <v>60</v>
      </c>
      <c r="B75" s="73" t="s">
        <v>460</v>
      </c>
      <c r="F75" s="75">
        <f>H73+L73</f>
        <v>4540267.2381445207</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0">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A3:H3"/>
    <mergeCell ref="F13:H13"/>
    <mergeCell ref="B29:D29"/>
    <mergeCell ref="B30:D30"/>
    <mergeCell ref="B31:D31"/>
    <mergeCell ref="B20:D20"/>
    <mergeCell ref="B21:D21"/>
    <mergeCell ref="B22:D22"/>
    <mergeCell ref="B23:D23"/>
    <mergeCell ref="B24:D24"/>
    <mergeCell ref="B25:D25"/>
    <mergeCell ref="B26:D26"/>
    <mergeCell ref="B12:D12"/>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3:D14"/>
    <mergeCell ref="N13:N14"/>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488" t="s">
        <v>769</v>
      </c>
      <c r="B3" s="488"/>
      <c r="C3" s="488"/>
      <c r="D3" s="488"/>
      <c r="E3" s="488"/>
      <c r="F3" s="488"/>
      <c r="G3" s="488"/>
      <c r="H3" s="488"/>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204</v>
      </c>
      <c r="C8" s="1"/>
      <c r="D8" s="119" t="s">
        <v>948</v>
      </c>
      <c r="E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11" t="s">
        <v>255</v>
      </c>
      <c r="C13" s="512"/>
      <c r="D13" s="513"/>
      <c r="F13" s="505" t="s">
        <v>261</v>
      </c>
      <c r="G13" s="510"/>
      <c r="H13" s="506"/>
      <c r="J13" s="505" t="s">
        <v>262</v>
      </c>
      <c r="K13" s="510"/>
      <c r="L13" s="506"/>
      <c r="N13" s="508" t="s">
        <v>250</v>
      </c>
      <c r="O13" s="504" t="s">
        <v>312</v>
      </c>
    </row>
    <row r="14" spans="1:15" ht="55.5" customHeight="1" x14ac:dyDescent="0.35">
      <c r="B14" s="514"/>
      <c r="C14" s="515"/>
      <c r="D14" s="516"/>
      <c r="E14" s="48"/>
      <c r="F14" s="10" t="s">
        <v>214</v>
      </c>
      <c r="G14" s="151" t="s">
        <v>491</v>
      </c>
      <c r="H14" s="151" t="s">
        <v>215</v>
      </c>
      <c r="I14" s="100"/>
      <c r="J14" s="151" t="s">
        <v>214</v>
      </c>
      <c r="K14" s="151" t="s">
        <v>491</v>
      </c>
      <c r="L14" s="10" t="s">
        <v>215</v>
      </c>
      <c r="M14" s="48"/>
      <c r="N14" s="509"/>
      <c r="O14" s="504"/>
    </row>
    <row r="15" spans="1:15" x14ac:dyDescent="0.35">
      <c r="A15" s="24">
        <v>1</v>
      </c>
      <c r="B15" s="543" t="s">
        <v>954</v>
      </c>
      <c r="C15" s="507"/>
      <c r="D15" s="507"/>
      <c r="F15" s="117">
        <v>319708.61218339083</v>
      </c>
      <c r="G15" s="68">
        <f>IFERROR(F15*'As-Filed Schedule 1'!$E$103,0)</f>
        <v>143852.78771166457</v>
      </c>
      <c r="H15" s="68">
        <f>SUM(F15:G15)</f>
        <v>463561.39989505539</v>
      </c>
      <c r="J15" s="117">
        <v>0</v>
      </c>
      <c r="K15" s="68">
        <f>IFERROR(J15*'As-Filed Schedule 1'!$E$103,0)</f>
        <v>0</v>
      </c>
      <c r="L15" s="68">
        <f>SUM(J15:K15)</f>
        <v>0</v>
      </c>
      <c r="N15" s="120">
        <v>3.5</v>
      </c>
      <c r="O15" s="120">
        <v>187</v>
      </c>
    </row>
    <row r="16" spans="1:15" x14ac:dyDescent="0.35">
      <c r="A16" s="24">
        <v>2</v>
      </c>
      <c r="B16" s="543" t="s">
        <v>955</v>
      </c>
      <c r="C16" s="507"/>
      <c r="D16" s="507"/>
      <c r="F16" s="117">
        <v>325991.80652588111</v>
      </c>
      <c r="G16" s="68">
        <f>IFERROR(F16*'As-Filed Schedule 1'!$E$103,0)</f>
        <v>146679.90899478761</v>
      </c>
      <c r="H16" s="68">
        <f t="shared" ref="H16:H72" si="0">SUM(F16:G16)</f>
        <v>472671.71552066872</v>
      </c>
      <c r="J16" s="117">
        <v>37652.549082016652</v>
      </c>
      <c r="K16" s="68">
        <f>IFERROR(J16*'As-Filed Schedule 1'!$E$103,0)</f>
        <v>16941.752406692787</v>
      </c>
      <c r="L16" s="68">
        <f t="shared" ref="L16:L72" si="1">SUM(J16:K16)</f>
        <v>54594.30148870944</v>
      </c>
      <c r="N16" s="120">
        <v>3.6666666666666665</v>
      </c>
      <c r="O16" s="120">
        <v>133</v>
      </c>
    </row>
    <row r="17" spans="1:15" x14ac:dyDescent="0.35">
      <c r="A17" s="24">
        <v>3</v>
      </c>
      <c r="B17" s="543" t="s">
        <v>956</v>
      </c>
      <c r="C17" s="507"/>
      <c r="D17" s="507"/>
      <c r="F17" s="117">
        <v>219684.397570292</v>
      </c>
      <c r="G17" s="68">
        <f>IFERROR(F17*'As-Filed Schedule 1'!$E$103,0)</f>
        <v>98846.924364729086</v>
      </c>
      <c r="H17" s="68">
        <f t="shared" si="0"/>
        <v>318531.32193502109</v>
      </c>
      <c r="J17" s="117">
        <v>27460.549696286511</v>
      </c>
      <c r="K17" s="68">
        <f>IFERROR(J17*'As-Filed Schedule 1'!$E$103,0)</f>
        <v>12355.865545591139</v>
      </c>
      <c r="L17" s="68">
        <f t="shared" si="1"/>
        <v>39816.41524187765</v>
      </c>
      <c r="N17" s="120">
        <v>2.7916666666666665</v>
      </c>
      <c r="O17" s="120">
        <v>74</v>
      </c>
    </row>
    <row r="18" spans="1:15" x14ac:dyDescent="0.35">
      <c r="A18" s="24">
        <v>4</v>
      </c>
      <c r="B18" s="543" t="s">
        <v>957</v>
      </c>
      <c r="C18" s="507"/>
      <c r="D18" s="507"/>
      <c r="F18" s="117">
        <v>1099488.3633298918</v>
      </c>
      <c r="G18" s="68">
        <f>IFERROR(F18*'As-Filed Schedule 1'!$E$103,0)</f>
        <v>494714.43712881394</v>
      </c>
      <c r="H18" s="68">
        <f t="shared" si="0"/>
        <v>1594202.8004587058</v>
      </c>
      <c r="J18" s="117">
        <v>667147.17639339215</v>
      </c>
      <c r="K18" s="68">
        <f>IFERROR(J18*'As-Filed Schedule 1'!$E$103,0)</f>
        <v>300182.65846121259</v>
      </c>
      <c r="L18" s="68">
        <f t="shared" si="1"/>
        <v>967329.83485460468</v>
      </c>
      <c r="N18" s="120">
        <v>14.220833333333337</v>
      </c>
      <c r="O18" s="120">
        <v>1994</v>
      </c>
    </row>
    <row r="19" spans="1:15" x14ac:dyDescent="0.35">
      <c r="A19" s="24">
        <v>5</v>
      </c>
      <c r="B19" s="543" t="s">
        <v>958</v>
      </c>
      <c r="C19" s="507"/>
      <c r="D19" s="507"/>
      <c r="F19" s="117">
        <v>25273.840723394333</v>
      </c>
      <c r="G19" s="68">
        <f>IFERROR(F19*'As-Filed Schedule 1'!$E$103,0)</f>
        <v>11371.956543214281</v>
      </c>
      <c r="H19" s="68">
        <f t="shared" si="0"/>
        <v>36645.797266608613</v>
      </c>
      <c r="J19" s="117">
        <v>392317.32157768391</v>
      </c>
      <c r="K19" s="68">
        <f>IFERROR(J19*'As-Filed Schedule 1'!$E$103,0)</f>
        <v>176523.05326123245</v>
      </c>
      <c r="L19" s="68">
        <f t="shared" si="1"/>
        <v>568840.37483891635</v>
      </c>
      <c r="N19" s="120">
        <v>3.8358333333333334</v>
      </c>
      <c r="O19" s="120">
        <v>9</v>
      </c>
    </row>
    <row r="20" spans="1:15" x14ac:dyDescent="0.35">
      <c r="A20" s="24">
        <v>6</v>
      </c>
      <c r="B20" s="543" t="s">
        <v>959</v>
      </c>
      <c r="C20" s="507"/>
      <c r="D20" s="507"/>
      <c r="F20" s="117">
        <v>5883.0745691844977</v>
      </c>
      <c r="G20" s="68">
        <f>IFERROR(F20*'As-Filed Schedule 1'!$E$103,0)</f>
        <v>2647.0875192043263</v>
      </c>
      <c r="H20" s="68">
        <f t="shared" si="0"/>
        <v>8530.1620883888245</v>
      </c>
      <c r="J20" s="117">
        <v>0</v>
      </c>
      <c r="K20" s="68">
        <f>IFERROR(J20*'As-Filed Schedule 1'!$E$103,0)</f>
        <v>0</v>
      </c>
      <c r="L20" s="68">
        <f t="shared" si="1"/>
        <v>0</v>
      </c>
      <c r="N20" s="120">
        <v>0.08</v>
      </c>
      <c r="O20" s="120">
        <v>3</v>
      </c>
    </row>
    <row r="21" spans="1:15" x14ac:dyDescent="0.35">
      <c r="A21" s="24">
        <v>7</v>
      </c>
      <c r="B21" s="543" t="s">
        <v>960</v>
      </c>
      <c r="C21" s="507"/>
      <c r="D21" s="507"/>
      <c r="F21" s="117">
        <v>635599.8405440246</v>
      </c>
      <c r="G21" s="68">
        <f>IFERROR(F21*'As-Filed Schedule 1'!$E$103,0)</f>
        <v>285987.94479424239</v>
      </c>
      <c r="H21" s="68">
        <f t="shared" si="0"/>
        <v>921587.78533826699</v>
      </c>
      <c r="J21" s="117">
        <v>0</v>
      </c>
      <c r="K21" s="68">
        <f>IFERROR(J21*'As-Filed Schedule 1'!$E$103,0)</f>
        <v>0</v>
      </c>
      <c r="L21" s="68">
        <f t="shared" si="1"/>
        <v>0</v>
      </c>
      <c r="N21" s="120">
        <v>3.5</v>
      </c>
      <c r="O21" s="120">
        <v>380</v>
      </c>
    </row>
    <row r="22" spans="1:15" x14ac:dyDescent="0.35">
      <c r="A22" s="24">
        <v>8</v>
      </c>
      <c r="B22" s="543" t="s">
        <v>961</v>
      </c>
      <c r="C22" s="507"/>
      <c r="D22" s="507"/>
      <c r="F22" s="117">
        <v>1699781.5303419807</v>
      </c>
      <c r="G22" s="68">
        <f>IFERROR(F22*'As-Filed Schedule 1'!$E$103,0)</f>
        <v>764816.1554691965</v>
      </c>
      <c r="H22" s="68">
        <f t="shared" si="0"/>
        <v>2464597.6858111774</v>
      </c>
      <c r="J22" s="117">
        <v>0</v>
      </c>
      <c r="K22" s="68">
        <f>IFERROR(J22*'As-Filed Schedule 1'!$E$103,0)</f>
        <v>0</v>
      </c>
      <c r="L22" s="68">
        <f t="shared" si="1"/>
        <v>0</v>
      </c>
      <c r="N22" s="120">
        <v>12.03</v>
      </c>
      <c r="O22" s="120">
        <v>1099</v>
      </c>
    </row>
    <row r="23" spans="1:15" x14ac:dyDescent="0.35">
      <c r="A23" s="24">
        <v>9</v>
      </c>
      <c r="B23" s="543" t="s">
        <v>962</v>
      </c>
      <c r="C23" s="507"/>
      <c r="D23" s="507"/>
      <c r="F23" s="117">
        <v>3414302.9796366929</v>
      </c>
      <c r="G23" s="68">
        <f>IFERROR(F23*'As-Filed Schedule 1'!$E$103,0)</f>
        <v>1536264.5327528561</v>
      </c>
      <c r="H23" s="68">
        <f t="shared" si="0"/>
        <v>4950567.5123895491</v>
      </c>
      <c r="J23" s="117">
        <v>0</v>
      </c>
      <c r="K23" s="68">
        <f>IFERROR(J23*'As-Filed Schedule 1'!$E$103,0)</f>
        <v>0</v>
      </c>
      <c r="L23" s="68">
        <f t="shared" si="1"/>
        <v>0</v>
      </c>
      <c r="N23" s="120">
        <v>24.77</v>
      </c>
      <c r="O23" s="120">
        <v>2589</v>
      </c>
    </row>
    <row r="24" spans="1:15" x14ac:dyDescent="0.35">
      <c r="A24" s="24">
        <v>10</v>
      </c>
      <c r="B24" s="543" t="s">
        <v>963</v>
      </c>
      <c r="C24" s="507"/>
      <c r="D24" s="507"/>
      <c r="F24" s="117">
        <v>1022800.9220310607</v>
      </c>
      <c r="G24" s="68">
        <f>IFERROR(F24*'As-Filed Schedule 1'!$E$103,0)</f>
        <v>460208.94746442069</v>
      </c>
      <c r="H24" s="68">
        <f t="shared" si="0"/>
        <v>1483009.8694954813</v>
      </c>
      <c r="J24" s="117">
        <v>0</v>
      </c>
      <c r="K24" s="68">
        <f>IFERROR(J24*'As-Filed Schedule 1'!$E$103,0)</f>
        <v>0</v>
      </c>
      <c r="L24" s="68">
        <f t="shared" si="1"/>
        <v>0</v>
      </c>
      <c r="N24" s="120">
        <v>7.85</v>
      </c>
      <c r="O24" s="120">
        <v>2088</v>
      </c>
    </row>
    <row r="25" spans="1:15" x14ac:dyDescent="0.35">
      <c r="A25" s="24">
        <v>11</v>
      </c>
      <c r="B25" s="543" t="s">
        <v>964</v>
      </c>
      <c r="C25" s="507"/>
      <c r="D25" s="507"/>
      <c r="F25" s="117">
        <v>4157647.6433963315</v>
      </c>
      <c r="G25" s="68">
        <f>IFERROR(F25*'As-Filed Schedule 1'!$E$103,0)</f>
        <v>1870732.2262633322</v>
      </c>
      <c r="H25" s="68">
        <f t="shared" si="0"/>
        <v>6028379.8696596641</v>
      </c>
      <c r="J25" s="117">
        <v>19250.07</v>
      </c>
      <c r="K25" s="68">
        <f>IFERROR(J25*'As-Filed Schedule 1'!$E$103,0)</f>
        <v>8661.5628344607485</v>
      </c>
      <c r="L25" s="68">
        <f t="shared" si="1"/>
        <v>27911.632834460746</v>
      </c>
      <c r="N25" s="120">
        <v>11.31</v>
      </c>
      <c r="O25" s="120">
        <v>5133</v>
      </c>
    </row>
    <row r="26" spans="1:15" x14ac:dyDescent="0.35">
      <c r="A26" s="24">
        <v>12</v>
      </c>
      <c r="B26" s="542" t="s">
        <v>965</v>
      </c>
      <c r="C26" s="544"/>
      <c r="D26" s="545"/>
      <c r="F26" s="117">
        <v>781324.60275809816</v>
      </c>
      <c r="G26" s="68">
        <f>IFERROR(F26*'As-Filed Schedule 1'!$E$103,0)</f>
        <v>351556.75490527315</v>
      </c>
      <c r="H26" s="68">
        <f t="shared" si="0"/>
        <v>1132881.3576633714</v>
      </c>
      <c r="J26" s="117">
        <v>0</v>
      </c>
      <c r="K26" s="68">
        <f>IFERROR(J26*'As-Filed Schedule 1'!$E$103,0)</f>
        <v>0</v>
      </c>
      <c r="L26" s="68">
        <f t="shared" si="1"/>
        <v>0</v>
      </c>
      <c r="N26" s="120">
        <v>4.75</v>
      </c>
      <c r="O26" s="120">
        <v>2512</v>
      </c>
    </row>
    <row r="27" spans="1:15" x14ac:dyDescent="0.35">
      <c r="A27" s="24">
        <v>13</v>
      </c>
      <c r="B27" s="542" t="s">
        <v>966</v>
      </c>
      <c r="C27" s="544"/>
      <c r="D27" s="545"/>
      <c r="F27" s="117">
        <v>1381820.4307926111</v>
      </c>
      <c r="G27" s="68">
        <f>IFERROR(F27*'As-Filed Schedule 1'!$E$103,0)</f>
        <v>621749.66050782264</v>
      </c>
      <c r="H27" s="68">
        <f t="shared" si="0"/>
        <v>2003570.0913004337</v>
      </c>
      <c r="J27" s="117">
        <v>99189.914342688557</v>
      </c>
      <c r="K27" s="68">
        <f>IFERROR(J27*'As-Filed Schedule 1'!$E$103,0)</f>
        <v>44630.47020732789</v>
      </c>
      <c r="L27" s="68">
        <f t="shared" si="1"/>
        <v>143820.38455001643</v>
      </c>
      <c r="N27" s="120">
        <v>10.53</v>
      </c>
      <c r="O27" s="120">
        <v>773</v>
      </c>
    </row>
    <row r="28" spans="1:15" x14ac:dyDescent="0.35">
      <c r="A28" s="24">
        <v>14</v>
      </c>
      <c r="B28" s="452"/>
      <c r="C28" s="453"/>
      <c r="D28" s="45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2"/>
      <c r="C29" s="453"/>
      <c r="D29" s="45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452"/>
      <c r="C30" s="453"/>
      <c r="D30" s="454"/>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452"/>
      <c r="C31" s="453"/>
      <c r="D31" s="454"/>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452"/>
      <c r="C32" s="453"/>
      <c r="D32" s="454"/>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452"/>
      <c r="C33" s="453"/>
      <c r="D33" s="454"/>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452"/>
      <c r="C34" s="453"/>
      <c r="D34" s="454"/>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452"/>
      <c r="C35" s="453"/>
      <c r="D35" s="454"/>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9"/>
      <c r="C36" s="540"/>
      <c r="D36" s="54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448"/>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448"/>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448"/>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446"/>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446"/>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446"/>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446"/>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446"/>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15089308.044402834</v>
      </c>
      <c r="G73" s="18">
        <f t="shared" ref="G73:H73" si="2">SUM(G15:G72)</f>
        <v>6789429.3244195571</v>
      </c>
      <c r="H73" s="18">
        <f t="shared" si="2"/>
        <v>21878737.368822396</v>
      </c>
      <c r="J73" s="18">
        <f>SUM(J15:J72)</f>
        <v>1243017.581092068</v>
      </c>
      <c r="K73" s="18">
        <f>SUM(K15:K72)</f>
        <v>559295.36271651764</v>
      </c>
      <c r="L73" s="18">
        <f>SUM(L15:L72)</f>
        <v>1802312.9438085854</v>
      </c>
      <c r="O73" s="83" t="s">
        <v>313</v>
      </c>
    </row>
    <row r="74" spans="1:15" ht="15" thickBot="1" x14ac:dyDescent="0.4">
      <c r="H74" s="37" t="s">
        <v>257</v>
      </c>
      <c r="L74" s="37" t="s">
        <v>258</v>
      </c>
    </row>
    <row r="75" spans="1:15" s="72" customFormat="1" ht="16" thickBot="1" x14ac:dyDescent="0.4">
      <c r="A75" s="24">
        <v>60</v>
      </c>
      <c r="B75" s="73" t="s">
        <v>461</v>
      </c>
      <c r="F75" s="75">
        <f>H73+L73</f>
        <v>23681050.312630981</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57">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44:D44"/>
    <mergeCell ref="N13:N14"/>
    <mergeCell ref="O13:O14"/>
    <mergeCell ref="J13:L13"/>
    <mergeCell ref="B36:D36"/>
    <mergeCell ref="B42:D42"/>
    <mergeCell ref="B37:D37"/>
    <mergeCell ref="B38:D38"/>
    <mergeCell ref="B39:D39"/>
    <mergeCell ref="B43:D43"/>
    <mergeCell ref="B40:D40"/>
    <mergeCell ref="B41:D41"/>
    <mergeCell ref="B15:D15"/>
    <mergeCell ref="B16:D16"/>
    <mergeCell ref="B17:D17"/>
    <mergeCell ref="B18:D18"/>
    <mergeCell ref="B24:D24"/>
    <mergeCell ref="B25:D25"/>
    <mergeCell ref="B26:D26"/>
    <mergeCell ref="B27:D27"/>
    <mergeCell ref="A3:H3"/>
    <mergeCell ref="F13:H13"/>
    <mergeCell ref="B12:D12"/>
    <mergeCell ref="B13:D14"/>
    <mergeCell ref="B19:D19"/>
    <mergeCell ref="B20:D20"/>
    <mergeCell ref="B21:D21"/>
    <mergeCell ref="B22:D22"/>
    <mergeCell ref="B23:D2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488" t="s">
        <v>770</v>
      </c>
      <c r="B3" s="488"/>
      <c r="C3" s="488"/>
      <c r="D3" s="488"/>
      <c r="E3" s="488"/>
      <c r="F3" s="488"/>
      <c r="G3" s="488"/>
      <c r="H3" s="488"/>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203</v>
      </c>
      <c r="C8" s="1"/>
      <c r="F8" s="119" t="s">
        <v>948</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43" t="s">
        <v>967</v>
      </c>
      <c r="C15" s="507"/>
      <c r="D15" s="507"/>
      <c r="F15" s="117">
        <v>636452.86971926864</v>
      </c>
      <c r="G15" s="68">
        <f>IFERROR(F15*'As-Filed Schedule 1'!$E$103,0)</f>
        <v>286371.76499858475</v>
      </c>
      <c r="H15" s="68">
        <f>SUM(F15:G15)</f>
        <v>922824.63471785339</v>
      </c>
      <c r="J15" s="117">
        <v>0</v>
      </c>
      <c r="K15" s="68">
        <f>IFERROR(J15*'As-Filed Schedule 1'!$E$103,0)</f>
        <v>0</v>
      </c>
      <c r="L15" s="68">
        <f>SUM(J15:K15)</f>
        <v>0</v>
      </c>
      <c r="N15" s="120">
        <v>4.66</v>
      </c>
      <c r="O15" s="120">
        <v>121</v>
      </c>
    </row>
    <row r="16" spans="1:15" x14ac:dyDescent="0.35">
      <c r="A16" s="24">
        <v>2</v>
      </c>
      <c r="B16" s="543" t="s">
        <v>968</v>
      </c>
      <c r="C16" s="507"/>
      <c r="D16" s="507"/>
      <c r="F16" s="117">
        <v>513586.63763279462</v>
      </c>
      <c r="G16" s="68">
        <f>IFERROR(F16*'As-Filed Schedule 1'!$E$103,0)</f>
        <v>231088.14320134284</v>
      </c>
      <c r="H16" s="68">
        <f t="shared" ref="H16:H72" si="0">SUM(F16:G16)</f>
        <v>744674.78083413746</v>
      </c>
      <c r="J16" s="117">
        <v>0</v>
      </c>
      <c r="K16" s="68">
        <f>IFERROR(J16*'As-Filed Schedule 1'!$E$103,0)</f>
        <v>0</v>
      </c>
      <c r="L16" s="68">
        <f t="shared" ref="L16:L72" si="1">SUM(J16:K16)</f>
        <v>0</v>
      </c>
      <c r="N16" s="120">
        <v>3.6666666666666665</v>
      </c>
      <c r="O16" s="120">
        <v>541</v>
      </c>
    </row>
    <row r="17" spans="1:15" x14ac:dyDescent="0.35">
      <c r="A17" s="24">
        <v>3</v>
      </c>
      <c r="B17" s="543" t="s">
        <v>969</v>
      </c>
      <c r="C17" s="507"/>
      <c r="D17" s="507"/>
      <c r="F17" s="117">
        <v>1344562.2427997645</v>
      </c>
      <c r="G17" s="68">
        <f>IFERROR(F17*'As-Filed Schedule 1'!$E$103,0)</f>
        <v>604985.35074696504</v>
      </c>
      <c r="H17" s="68">
        <f t="shared" si="0"/>
        <v>1949547.5935467295</v>
      </c>
      <c r="J17" s="117">
        <v>268.72000000000003</v>
      </c>
      <c r="K17" s="68">
        <f>IFERROR(J17*'As-Filed Schedule 1'!$E$103,0)</f>
        <v>120.91047798144592</v>
      </c>
      <c r="L17" s="68">
        <f t="shared" si="1"/>
        <v>389.63047798144595</v>
      </c>
      <c r="N17" s="120">
        <v>9.7083333333333339</v>
      </c>
      <c r="O17" s="120">
        <v>96</v>
      </c>
    </row>
    <row r="18" spans="1:15" x14ac:dyDescent="0.35">
      <c r="A18" s="24">
        <v>4</v>
      </c>
      <c r="B18" s="543" t="s">
        <v>970</v>
      </c>
      <c r="C18" s="507"/>
      <c r="D18" s="507"/>
      <c r="F18" s="117">
        <v>345009.79153986258</v>
      </c>
      <c r="G18" s="68">
        <f>IFERROR(F18*'As-Filed Schedule 1'!$E$103,0)</f>
        <v>155237.04526408081</v>
      </c>
      <c r="H18" s="68">
        <f t="shared" si="0"/>
        <v>500246.83680394338</v>
      </c>
      <c r="J18" s="117">
        <v>116388.84533874881</v>
      </c>
      <c r="K18" s="68">
        <f>IFERROR(J18*'As-Filed Schedule 1'!$E$103,0)</f>
        <v>52369.12370354533</v>
      </c>
      <c r="L18" s="68">
        <f t="shared" si="1"/>
        <v>168757.96904229413</v>
      </c>
      <c r="N18" s="120">
        <v>3.3333333333333344</v>
      </c>
      <c r="O18" s="120">
        <v>33</v>
      </c>
    </row>
    <row r="19" spans="1:15" x14ac:dyDescent="0.35">
      <c r="A19" s="24">
        <v>5</v>
      </c>
      <c r="B19" s="543" t="s">
        <v>971</v>
      </c>
      <c r="C19" s="507"/>
      <c r="D19" s="507"/>
      <c r="F19" s="117">
        <v>20646.32502372381</v>
      </c>
      <c r="G19" s="68">
        <f>IFERROR(F19*'As-Filed Schedule 1'!$E$103,0)</f>
        <v>9289.8073354373828</v>
      </c>
      <c r="H19" s="68">
        <f t="shared" si="0"/>
        <v>29936.132359161194</v>
      </c>
      <c r="J19" s="117">
        <v>99861.387496095078</v>
      </c>
      <c r="K19" s="68">
        <f>IFERROR(J19*'As-Filed Schedule 1'!$E$103,0)</f>
        <v>44932.599337761392</v>
      </c>
      <c r="L19" s="68">
        <f t="shared" si="1"/>
        <v>144793.98683385647</v>
      </c>
      <c r="N19" s="120">
        <v>0.42</v>
      </c>
      <c r="O19" s="120">
        <v>18</v>
      </c>
    </row>
    <row r="20" spans="1:15" x14ac:dyDescent="0.35">
      <c r="A20" s="24">
        <v>6</v>
      </c>
      <c r="B20" s="543" t="s">
        <v>972</v>
      </c>
      <c r="C20" s="507"/>
      <c r="D20" s="507"/>
      <c r="F20" s="117">
        <v>147126.1369880136</v>
      </c>
      <c r="G20" s="68">
        <f>IFERROR(F20*'As-Filed Schedule 1'!$E$103,0)</f>
        <v>66199.35824197832</v>
      </c>
      <c r="H20" s="68">
        <f t="shared" si="0"/>
        <v>213325.49522999191</v>
      </c>
      <c r="J20" s="117">
        <v>0</v>
      </c>
      <c r="K20" s="68">
        <f>IFERROR(J20*'As-Filed Schedule 1'!$E$103,0)</f>
        <v>0</v>
      </c>
      <c r="L20" s="68">
        <f t="shared" si="1"/>
        <v>0</v>
      </c>
      <c r="N20" s="120">
        <v>1.5166666666666666</v>
      </c>
      <c r="O20" s="120">
        <v>99</v>
      </c>
    </row>
    <row r="21" spans="1:15" x14ac:dyDescent="0.35">
      <c r="A21" s="24">
        <v>7</v>
      </c>
      <c r="B21" s="543" t="s">
        <v>973</v>
      </c>
      <c r="C21" s="507"/>
      <c r="D21" s="507"/>
      <c r="F21" s="117">
        <v>806342.43083753006</v>
      </c>
      <c r="G21" s="68">
        <f>IFERROR(F21*'As-Filed Schedule 1'!$E$103,0)</f>
        <v>362813.5186412874</v>
      </c>
      <c r="H21" s="68">
        <f t="shared" si="0"/>
        <v>1169155.9494788174</v>
      </c>
      <c r="J21" s="117">
        <v>0</v>
      </c>
      <c r="K21" s="68">
        <f>IFERROR(J21*'As-Filed Schedule 1'!$E$103,0)</f>
        <v>0</v>
      </c>
      <c r="L21" s="68">
        <f t="shared" si="1"/>
        <v>0</v>
      </c>
      <c r="N21" s="120">
        <v>5.99</v>
      </c>
      <c r="O21" s="120">
        <v>224</v>
      </c>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448"/>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448"/>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448"/>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448"/>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448"/>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448"/>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448"/>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448"/>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448"/>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448"/>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448"/>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448"/>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448"/>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448"/>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448"/>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448"/>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3813726.4345409581</v>
      </c>
      <c r="G73" s="18">
        <f t="shared" ref="G73:H73" si="2">SUM(G15:G72)</f>
        <v>1715984.9884296765</v>
      </c>
      <c r="H73" s="18">
        <f t="shared" si="2"/>
        <v>5529711.422970634</v>
      </c>
      <c r="J73" s="18">
        <f>SUM(J15:J72)</f>
        <v>216518.95283484389</v>
      </c>
      <c r="K73" s="18">
        <f t="shared" ref="K73:L73" si="3">SUM(K15:K72)</f>
        <v>97422.633519288167</v>
      </c>
      <c r="L73" s="18">
        <f t="shared" si="3"/>
        <v>313941.58635413204</v>
      </c>
      <c r="O73" s="83" t="s">
        <v>313</v>
      </c>
    </row>
    <row r="74" spans="1:15" ht="15" thickBot="1" x14ac:dyDescent="0.4">
      <c r="H74" s="37" t="s">
        <v>257</v>
      </c>
      <c r="L74" s="37" t="s">
        <v>258</v>
      </c>
    </row>
    <row r="75" spans="1:15" s="72" customFormat="1" ht="16" thickBot="1" x14ac:dyDescent="0.4">
      <c r="A75" s="24">
        <v>60</v>
      </c>
      <c r="B75" s="73" t="s">
        <v>462</v>
      </c>
      <c r="F75" s="75">
        <f>H73+L73</f>
        <v>5843653.0093247658</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53:D53"/>
    <mergeCell ref="B54:D54"/>
    <mergeCell ref="B55:D55"/>
    <mergeCell ref="B57:D57"/>
    <mergeCell ref="B58:D58"/>
    <mergeCell ref="B56:D56"/>
    <mergeCell ref="B64:D64"/>
    <mergeCell ref="B65:D65"/>
    <mergeCell ref="B59:D59"/>
    <mergeCell ref="B60:D60"/>
    <mergeCell ref="B61:D61"/>
    <mergeCell ref="B62:D62"/>
    <mergeCell ref="B63:D63"/>
    <mergeCell ref="B66:D66"/>
    <mergeCell ref="B72:D72"/>
    <mergeCell ref="B67:D67"/>
    <mergeCell ref="B68:D68"/>
    <mergeCell ref="B69:D69"/>
    <mergeCell ref="B70:D70"/>
    <mergeCell ref="B71:D71"/>
    <mergeCell ref="B48:D48"/>
    <mergeCell ref="B49:D49"/>
    <mergeCell ref="B50:D50"/>
    <mergeCell ref="B51:D51"/>
    <mergeCell ref="B52:D52"/>
    <mergeCell ref="B39:D39"/>
    <mergeCell ref="B40:D40"/>
    <mergeCell ref="B41:D41"/>
    <mergeCell ref="B46:D46"/>
    <mergeCell ref="B47:D47"/>
    <mergeCell ref="B42:D42"/>
    <mergeCell ref="B43:D43"/>
    <mergeCell ref="B44:D44"/>
    <mergeCell ref="B45:D45"/>
    <mergeCell ref="B33:D33"/>
    <mergeCell ref="B32:D32"/>
    <mergeCell ref="B30:D30"/>
    <mergeCell ref="B31:D31"/>
    <mergeCell ref="B28:D28"/>
    <mergeCell ref="B29:D29"/>
    <mergeCell ref="B38:D38"/>
    <mergeCell ref="B34:D34"/>
    <mergeCell ref="B35:D35"/>
    <mergeCell ref="B36:D36"/>
    <mergeCell ref="B37:D37"/>
    <mergeCell ref="A3:H3"/>
    <mergeCell ref="F13:H13"/>
    <mergeCell ref="B12:D12"/>
    <mergeCell ref="B13:D14"/>
    <mergeCell ref="B22:D22"/>
    <mergeCell ref="B23:D23"/>
    <mergeCell ref="B24:D24"/>
    <mergeCell ref="B25:D25"/>
    <mergeCell ref="B26:D26"/>
    <mergeCell ref="B27:D27"/>
    <mergeCell ref="O13:O14"/>
    <mergeCell ref="N13:N14"/>
    <mergeCell ref="J13:L13"/>
    <mergeCell ref="B21:D21"/>
    <mergeCell ref="B15:D15"/>
    <mergeCell ref="B16:D16"/>
    <mergeCell ref="B17:D17"/>
    <mergeCell ref="B18:D18"/>
    <mergeCell ref="B19:D19"/>
    <mergeCell ref="B20:D20"/>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20.90625" customWidth="1"/>
    <col min="3" max="3" width="22.90625" customWidth="1"/>
    <col min="4" max="4" width="22.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812</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46">
        <v>1</v>
      </c>
      <c r="C12" s="547"/>
      <c r="D12" s="548"/>
      <c r="F12" s="23">
        <v>2</v>
      </c>
      <c r="G12" s="23">
        <v>3</v>
      </c>
      <c r="H12" s="23">
        <v>4</v>
      </c>
      <c r="J12" s="23">
        <v>5</v>
      </c>
      <c r="K12" s="23">
        <v>6</v>
      </c>
      <c r="L12" s="23">
        <v>7</v>
      </c>
      <c r="N12" s="23">
        <v>8</v>
      </c>
      <c r="O12" s="23">
        <v>9</v>
      </c>
    </row>
    <row r="13" spans="1:15" ht="15" customHeight="1" x14ac:dyDescent="0.35">
      <c r="B13" s="511" t="s">
        <v>255</v>
      </c>
      <c r="C13" s="512"/>
      <c r="D13" s="513"/>
      <c r="F13" s="505" t="s">
        <v>261</v>
      </c>
      <c r="G13" s="510"/>
      <c r="H13" s="506"/>
      <c r="J13" s="505" t="s">
        <v>262</v>
      </c>
      <c r="K13" s="510"/>
      <c r="L13" s="506"/>
      <c r="N13" s="508" t="s">
        <v>250</v>
      </c>
      <c r="O13" s="508" t="s">
        <v>312</v>
      </c>
    </row>
    <row r="14" spans="1:15" ht="55.5" customHeight="1" x14ac:dyDescent="0.35">
      <c r="B14" s="514"/>
      <c r="C14" s="515"/>
      <c r="D14" s="516"/>
      <c r="E14" s="48"/>
      <c r="F14" s="10" t="s">
        <v>214</v>
      </c>
      <c r="G14" s="151" t="s">
        <v>491</v>
      </c>
      <c r="H14" s="151" t="s">
        <v>215</v>
      </c>
      <c r="I14" s="100"/>
      <c r="J14" s="151" t="s">
        <v>214</v>
      </c>
      <c r="K14" s="151" t="s">
        <v>491</v>
      </c>
      <c r="L14" s="10" t="s">
        <v>215</v>
      </c>
      <c r="M14" s="48"/>
      <c r="N14" s="509"/>
      <c r="O14" s="509"/>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39"/>
      <c r="C16" s="540"/>
      <c r="D16" s="54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39"/>
      <c r="C17" s="540"/>
      <c r="D17" s="541"/>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39"/>
      <c r="C18" s="540"/>
      <c r="D18" s="541"/>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39"/>
      <c r="C19" s="540"/>
      <c r="D19" s="541"/>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39"/>
      <c r="C20" s="540"/>
      <c r="D20" s="541"/>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39"/>
      <c r="C21" s="540"/>
      <c r="D21" s="541"/>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39"/>
      <c r="C22" s="540"/>
      <c r="D22" s="54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39"/>
      <c r="C23" s="540"/>
      <c r="D23" s="54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39"/>
      <c r="C24" s="540"/>
      <c r="D24" s="54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39"/>
      <c r="C25" s="540"/>
      <c r="D25" s="54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39"/>
      <c r="C26" s="540"/>
      <c r="D26" s="54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39"/>
      <c r="C27" s="540"/>
      <c r="D27" s="54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39"/>
      <c r="C28" s="540"/>
      <c r="D28" s="54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39"/>
      <c r="C29" s="540"/>
      <c r="D29" s="54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39"/>
      <c r="C30" s="540"/>
      <c r="D30" s="54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39"/>
      <c r="C31" s="540"/>
      <c r="D31" s="54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39"/>
      <c r="C32" s="540"/>
      <c r="D32" s="54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39"/>
      <c r="C33" s="540"/>
      <c r="D33" s="54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39"/>
      <c r="C34" s="540"/>
      <c r="D34" s="54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39"/>
      <c r="C35" s="540"/>
      <c r="D35" s="54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39"/>
      <c r="C36" s="540"/>
      <c r="D36" s="54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39"/>
      <c r="C37" s="540"/>
      <c r="D37" s="54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39"/>
      <c r="C38" s="540"/>
      <c r="D38" s="54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39"/>
      <c r="C39" s="540"/>
      <c r="D39" s="54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39"/>
      <c r="C40" s="540"/>
      <c r="D40" s="54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39"/>
      <c r="C41" s="540"/>
      <c r="D41" s="541"/>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39"/>
      <c r="C42" s="540"/>
      <c r="D42" s="541"/>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39"/>
      <c r="C43" s="540"/>
      <c r="D43" s="541"/>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39"/>
      <c r="C44" s="540"/>
      <c r="D44" s="541"/>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39"/>
      <c r="C45" s="540"/>
      <c r="D45" s="541"/>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39"/>
      <c r="C46" s="540"/>
      <c r="D46" s="541"/>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39"/>
      <c r="C47" s="540"/>
      <c r="D47" s="541"/>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39"/>
      <c r="C48" s="540"/>
      <c r="D48" s="541"/>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39"/>
      <c r="C49" s="540"/>
      <c r="D49" s="541"/>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39"/>
      <c r="C50" s="540"/>
      <c r="D50" s="541"/>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39"/>
      <c r="C51" s="540"/>
      <c r="D51" s="541"/>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39"/>
      <c r="C52" s="540"/>
      <c r="D52" s="541"/>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39"/>
      <c r="C53" s="540"/>
      <c r="D53" s="541"/>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39"/>
      <c r="C54" s="540"/>
      <c r="D54" s="541"/>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39"/>
      <c r="C55" s="540"/>
      <c r="D55" s="541"/>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39"/>
      <c r="C56" s="540"/>
      <c r="D56" s="541"/>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39"/>
      <c r="C57" s="540"/>
      <c r="D57" s="541"/>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39"/>
      <c r="C58" s="540"/>
      <c r="D58" s="541"/>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39"/>
      <c r="C59" s="540"/>
      <c r="D59" s="541"/>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39"/>
      <c r="C60" s="540"/>
      <c r="D60" s="541"/>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39"/>
      <c r="C61" s="540"/>
      <c r="D61" s="541"/>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39"/>
      <c r="C62" s="540"/>
      <c r="D62" s="541"/>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39"/>
      <c r="C63" s="540"/>
      <c r="D63" s="541"/>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39"/>
      <c r="C64" s="540"/>
      <c r="D64" s="541"/>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39"/>
      <c r="C65" s="540"/>
      <c r="D65" s="541"/>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39"/>
      <c r="C66" s="540"/>
      <c r="D66" s="541"/>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39"/>
      <c r="C67" s="540"/>
      <c r="D67" s="541"/>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39"/>
      <c r="C68" s="540"/>
      <c r="D68" s="541"/>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39"/>
      <c r="C69" s="540"/>
      <c r="D69" s="541"/>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39"/>
      <c r="C70" s="540"/>
      <c r="D70" s="541"/>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39"/>
      <c r="C71" s="540"/>
      <c r="D71" s="541"/>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39"/>
      <c r="C72" s="540"/>
      <c r="D72" s="541"/>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815</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2"/>
      <c r="C22" s="453"/>
      <c r="D22" s="454"/>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2"/>
      <c r="C23" s="453"/>
      <c r="D23" s="454"/>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2"/>
      <c r="C24" s="453"/>
      <c r="D24" s="454"/>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2"/>
      <c r="C27" s="453"/>
      <c r="D27" s="454"/>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49"/>
      <c r="C28" s="450"/>
      <c r="D28" s="45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49"/>
      <c r="C29" s="450"/>
      <c r="D29" s="45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9"/>
      <c r="C30" s="550"/>
      <c r="D30" s="55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9"/>
      <c r="C31" s="550"/>
      <c r="D31" s="55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9"/>
      <c r="C32" s="550"/>
      <c r="D32" s="55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9"/>
      <c r="C33" s="550"/>
      <c r="D33" s="55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9"/>
      <c r="C34" s="550"/>
      <c r="D34" s="55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9"/>
      <c r="C35" s="550"/>
      <c r="D35" s="55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9"/>
      <c r="C36" s="550"/>
      <c r="D36" s="551"/>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9"/>
      <c r="C37" s="550"/>
      <c r="D37" s="551"/>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9"/>
      <c r="C38" s="550"/>
      <c r="D38" s="551"/>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9"/>
      <c r="C39" s="550"/>
      <c r="D39" s="551"/>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9"/>
      <c r="C40" s="550"/>
      <c r="D40" s="551"/>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5.54296875" customWidth="1"/>
    <col min="4" max="4" width="30"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818</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49"/>
      <c r="C16" s="550"/>
      <c r="D16" s="551"/>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821</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6.6328125" customWidth="1"/>
    <col min="4" max="4" width="24.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824</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23.08984375" customWidth="1"/>
    <col min="3" max="3" width="26.6328125" customWidth="1"/>
    <col min="4" max="4" width="21.906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827</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830</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21.36328125" customWidth="1"/>
    <col min="4" max="4" width="20.36328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833</v>
      </c>
      <c r="B3" s="5"/>
      <c r="C3" s="5"/>
      <c r="D3" s="5"/>
      <c r="E3" s="5"/>
      <c r="F3" s="5"/>
      <c r="G3" s="5"/>
      <c r="H3" s="5"/>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8" width="18.08984375" customWidth="1"/>
    <col min="9" max="9" width="2.36328125" customWidth="1"/>
    <col min="10" max="12" width="18.08984375" customWidth="1"/>
    <col min="13" max="13" width="2.36328125" customWidth="1"/>
    <col min="14" max="14" width="11" customWidth="1"/>
    <col min="15" max="15" width="12" customWidth="1"/>
  </cols>
  <sheetData>
    <row r="1" spans="1:15" ht="26" x14ac:dyDescent="0.6">
      <c r="A1" s="3" t="s">
        <v>774</v>
      </c>
    </row>
    <row r="2" spans="1:15" ht="21" x14ac:dyDescent="0.5">
      <c r="A2" s="2" t="s">
        <v>772</v>
      </c>
    </row>
    <row r="3" spans="1:15" ht="24.9" customHeight="1" x14ac:dyDescent="0.5">
      <c r="A3" s="5" t="s">
        <v>837</v>
      </c>
      <c r="B3" s="5"/>
      <c r="C3" s="5"/>
      <c r="D3" s="5"/>
      <c r="E3" s="5"/>
      <c r="F3" s="5"/>
      <c r="G3" s="5"/>
      <c r="H3" s="5"/>
    </row>
    <row r="4" spans="1:15" ht="21" x14ac:dyDescent="0.5">
      <c r="A4" s="242" t="s">
        <v>834</v>
      </c>
    </row>
    <row r="5" spans="1:15" x14ac:dyDescent="0.35">
      <c r="A5" s="1" t="s">
        <v>773</v>
      </c>
      <c r="C5" s="419" t="str">
        <f>'As-Filed Schedule 1'!C5</f>
        <v>Diversus Health</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02">
        <v>1</v>
      </c>
      <c r="C12" s="502"/>
      <c r="D12" s="502"/>
      <c r="F12" s="23">
        <v>2</v>
      </c>
      <c r="G12" s="23">
        <v>3</v>
      </c>
      <c r="H12" s="23">
        <v>4</v>
      </c>
      <c r="J12" s="23">
        <v>5</v>
      </c>
      <c r="K12" s="23">
        <v>6</v>
      </c>
      <c r="L12" s="23">
        <v>7</v>
      </c>
      <c r="N12" s="23">
        <v>8</v>
      </c>
      <c r="O12" s="23">
        <v>9</v>
      </c>
    </row>
    <row r="13" spans="1:15" x14ac:dyDescent="0.35">
      <c r="B13" s="503" t="s">
        <v>255</v>
      </c>
      <c r="C13" s="503"/>
      <c r="D13" s="503"/>
      <c r="F13" s="505" t="s">
        <v>261</v>
      </c>
      <c r="G13" s="510"/>
      <c r="H13" s="506"/>
      <c r="J13" s="505" t="s">
        <v>262</v>
      </c>
      <c r="K13" s="510"/>
      <c r="L13" s="506"/>
      <c r="N13" s="504" t="s">
        <v>250</v>
      </c>
      <c r="O13" s="504" t="s">
        <v>312</v>
      </c>
    </row>
    <row r="14" spans="1:15" ht="55.5" customHeight="1" x14ac:dyDescent="0.35">
      <c r="B14" s="503"/>
      <c r="C14" s="503"/>
      <c r="D14" s="503"/>
      <c r="E14" s="48"/>
      <c r="F14" s="10" t="s">
        <v>214</v>
      </c>
      <c r="G14" s="151" t="s">
        <v>491</v>
      </c>
      <c r="H14" s="151" t="s">
        <v>215</v>
      </c>
      <c r="I14" s="100"/>
      <c r="J14" s="151" t="s">
        <v>214</v>
      </c>
      <c r="K14" s="151" t="s">
        <v>491</v>
      </c>
      <c r="L14" s="10" t="s">
        <v>215</v>
      </c>
      <c r="M14" s="48"/>
      <c r="N14" s="504"/>
      <c r="O14" s="504"/>
    </row>
    <row r="15" spans="1:15" x14ac:dyDescent="0.35">
      <c r="A15" s="24">
        <v>1</v>
      </c>
      <c r="B15" s="507"/>
      <c r="C15" s="507"/>
      <c r="D15" s="507"/>
      <c r="F15" s="117"/>
      <c r="G15" s="68">
        <f>IFERROR(F15*'As-Filed Schedule 1'!$E$103,0)</f>
        <v>0</v>
      </c>
      <c r="H15" s="68">
        <f>SUM(F15:G15)</f>
        <v>0</v>
      </c>
      <c r="J15" s="117"/>
      <c r="K15" s="68">
        <f>IFERROR(J15*'As-Filed Schedule 1'!$E$103,0)</f>
        <v>0</v>
      </c>
      <c r="L15" s="68">
        <f>SUM(J15:K15)</f>
        <v>0</v>
      </c>
      <c r="N15" s="120"/>
      <c r="O15" s="120"/>
    </row>
    <row r="16" spans="1:15" x14ac:dyDescent="0.35">
      <c r="A16" s="24">
        <v>2</v>
      </c>
      <c r="B16" s="507"/>
      <c r="C16" s="507"/>
      <c r="D16" s="50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07"/>
      <c r="C17" s="507"/>
      <c r="D17" s="50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07"/>
      <c r="C18" s="507"/>
      <c r="D18" s="50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07"/>
      <c r="C19" s="507"/>
      <c r="D19" s="50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07"/>
      <c r="C20" s="507"/>
      <c r="D20" s="50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07"/>
      <c r="C21" s="507"/>
      <c r="D21" s="50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07"/>
      <c r="C22" s="507"/>
      <c r="D22" s="50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07"/>
      <c r="C23" s="507"/>
      <c r="D23" s="50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07"/>
      <c r="C24" s="507"/>
      <c r="D24" s="50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07"/>
      <c r="C25" s="507"/>
      <c r="D25" s="50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07"/>
      <c r="C26" s="507"/>
      <c r="D26" s="50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07"/>
      <c r="C27" s="507"/>
      <c r="D27" s="50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07"/>
      <c r="C28" s="507"/>
      <c r="D28" s="50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07"/>
      <c r="C29" s="507"/>
      <c r="D29" s="50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07"/>
      <c r="C30" s="507"/>
      <c r="D30" s="50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07"/>
      <c r="C31" s="507"/>
      <c r="D31" s="50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07"/>
      <c r="C32" s="507"/>
      <c r="D32" s="50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07"/>
      <c r="C33" s="507"/>
      <c r="D33" s="50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07"/>
      <c r="C34" s="507"/>
      <c r="D34" s="50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07"/>
      <c r="C35" s="507"/>
      <c r="D35" s="50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07"/>
      <c r="C36" s="507"/>
      <c r="D36" s="50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07"/>
      <c r="C37" s="507"/>
      <c r="D37" s="50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07"/>
      <c r="C38" s="507"/>
      <c r="D38" s="50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07"/>
      <c r="C39" s="507"/>
      <c r="D39" s="50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07"/>
      <c r="C40" s="507"/>
      <c r="D40" s="50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07"/>
      <c r="C41" s="507"/>
      <c r="D41" s="50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07"/>
      <c r="C42" s="507"/>
      <c r="D42" s="50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07"/>
      <c r="C43" s="507"/>
      <c r="D43" s="50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07"/>
      <c r="C44" s="507"/>
      <c r="D44" s="50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07"/>
      <c r="C45" s="507"/>
      <c r="D45" s="50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07"/>
      <c r="C46" s="507"/>
      <c r="D46" s="50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07"/>
      <c r="C47" s="507"/>
      <c r="D47" s="50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07"/>
      <c r="C48" s="507"/>
      <c r="D48" s="50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07"/>
      <c r="C49" s="507"/>
      <c r="D49" s="50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07"/>
      <c r="C50" s="507"/>
      <c r="D50" s="50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07"/>
      <c r="C51" s="507"/>
      <c r="D51" s="50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07"/>
      <c r="C52" s="507"/>
      <c r="D52" s="50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07"/>
      <c r="C53" s="507"/>
      <c r="D53" s="50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07"/>
      <c r="C54" s="507"/>
      <c r="D54" s="50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07"/>
      <c r="C55" s="507"/>
      <c r="D55" s="50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07"/>
      <c r="C56" s="507"/>
      <c r="D56" s="50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07"/>
      <c r="C57" s="507"/>
      <c r="D57" s="50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07"/>
      <c r="C58" s="507"/>
      <c r="D58" s="50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07"/>
      <c r="C59" s="507"/>
      <c r="D59" s="50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07"/>
      <c r="C60" s="507"/>
      <c r="D60" s="50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07"/>
      <c r="C61" s="507"/>
      <c r="D61" s="50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07"/>
      <c r="C62" s="507"/>
      <c r="D62" s="50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07"/>
      <c r="C63" s="507"/>
      <c r="D63" s="50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07"/>
      <c r="C64" s="507"/>
      <c r="D64" s="50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07"/>
      <c r="C65" s="507"/>
      <c r="D65" s="50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07"/>
      <c r="C66" s="507"/>
      <c r="D66" s="50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07"/>
      <c r="C67" s="507"/>
      <c r="D67" s="50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07"/>
      <c r="C68" s="507"/>
      <c r="D68" s="50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07"/>
      <c r="C69" s="507"/>
      <c r="D69" s="50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07"/>
      <c r="C70" s="507"/>
      <c r="D70" s="50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07"/>
      <c r="C71" s="507"/>
      <c r="D71" s="50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07"/>
      <c r="C72" s="507"/>
      <c r="D72" s="50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J19" sqref="J19"/>
    </sheetView>
  </sheetViews>
  <sheetFormatPr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9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4.9"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19" t="str">
        <f>'As-Filed Schedule 1'!C5</f>
        <v>Diversus Health</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496" t="s">
        <v>480</v>
      </c>
      <c r="B9" s="496"/>
      <c r="C9" s="496"/>
      <c r="D9" s="496"/>
      <c r="E9" s="496"/>
      <c r="F9" s="496"/>
      <c r="G9" s="496"/>
      <c r="H9" s="496"/>
      <c r="I9" s="496"/>
      <c r="J9" s="496"/>
      <c r="K9" s="496"/>
      <c r="L9" s="100"/>
      <c r="T9" s="40"/>
      <c r="U9" s="40"/>
      <c r="V9" s="40"/>
    </row>
    <row r="10" spans="1:22" x14ac:dyDescent="0.35">
      <c r="A10" s="496"/>
      <c r="B10" s="496"/>
      <c r="C10" s="496"/>
      <c r="D10" s="496"/>
      <c r="E10" s="496"/>
      <c r="F10" s="496"/>
      <c r="G10" s="496"/>
      <c r="H10" s="496"/>
      <c r="I10" s="496"/>
      <c r="J10" s="496"/>
      <c r="K10" s="496"/>
      <c r="L10" s="100"/>
      <c r="T10" s="40"/>
      <c r="U10" s="40"/>
      <c r="V10" s="40"/>
    </row>
    <row r="11" spans="1:22" x14ac:dyDescent="0.35">
      <c r="A11" s="496"/>
      <c r="B11" s="496"/>
      <c r="C11" s="496"/>
      <c r="D11" s="496"/>
      <c r="E11" s="496"/>
      <c r="F11" s="496"/>
      <c r="G11" s="496"/>
      <c r="H11" s="496"/>
      <c r="I11" s="496"/>
      <c r="J11" s="496"/>
      <c r="K11" s="496"/>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490">
        <v>1</v>
      </c>
      <c r="C13" s="491"/>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23" t="s">
        <v>158</v>
      </c>
      <c r="C14" s="524"/>
      <c r="D14" s="520" t="s">
        <v>464</v>
      </c>
      <c r="E14" s="520" t="s">
        <v>437</v>
      </c>
      <c r="F14" s="520" t="s">
        <v>441</v>
      </c>
      <c r="G14" s="527" t="s">
        <v>492</v>
      </c>
      <c r="H14" s="527" t="s">
        <v>493</v>
      </c>
      <c r="I14" s="208"/>
      <c r="J14" s="208"/>
      <c r="K14" s="520" t="s">
        <v>160</v>
      </c>
      <c r="L14" s="520" t="s">
        <v>161</v>
      </c>
      <c r="M14" s="522" t="s">
        <v>168</v>
      </c>
      <c r="N14" s="522"/>
      <c r="O14" s="522" t="s">
        <v>34</v>
      </c>
      <c r="P14" s="522"/>
      <c r="Q14" s="522" t="s">
        <v>169</v>
      </c>
      <c r="R14" s="522"/>
    </row>
    <row r="15" spans="1:22" ht="60" customHeight="1" x14ac:dyDescent="0.35">
      <c r="A15" s="100"/>
      <c r="B15" s="525"/>
      <c r="C15" s="526"/>
      <c r="D15" s="521"/>
      <c r="E15" s="521"/>
      <c r="F15" s="521"/>
      <c r="G15" s="528"/>
      <c r="H15" s="528"/>
      <c r="I15" s="209" t="s">
        <v>454</v>
      </c>
      <c r="J15" s="209" t="s">
        <v>494</v>
      </c>
      <c r="K15" s="521"/>
      <c r="L15" s="521"/>
      <c r="M15" s="10" t="s">
        <v>162</v>
      </c>
      <c r="N15" s="10" t="s">
        <v>163</v>
      </c>
      <c r="O15" s="10" t="s">
        <v>164</v>
      </c>
      <c r="P15" s="10" t="s">
        <v>165</v>
      </c>
      <c r="Q15" s="10" t="s">
        <v>166</v>
      </c>
      <c r="R15" s="10" t="s">
        <v>167</v>
      </c>
    </row>
    <row r="16" spans="1:22" ht="9.9"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52" t="s">
        <v>974</v>
      </c>
      <c r="C17" s="553"/>
      <c r="D17" s="464" t="s">
        <v>176</v>
      </c>
      <c r="E17" s="464" t="s">
        <v>467</v>
      </c>
      <c r="F17" s="465">
        <v>16</v>
      </c>
      <c r="G17" s="466"/>
      <c r="H17" s="466"/>
      <c r="I17" s="139">
        <f>IF(B17=0,"",IF(AND(G17=0,H17=0),365,IF(AND(G17&gt;0,H17=0),$C$6-G17+1,IF(AND(G17=0,H17&gt;0),H17-($C$6-365),H17-G17+1))))</f>
        <v>365</v>
      </c>
      <c r="J17" s="98"/>
      <c r="K17" s="8">
        <f>SUM(K18:K20)</f>
        <v>3151</v>
      </c>
      <c r="L17" s="91">
        <f>IF(K17&gt;0,K17/(F17*I17),"")</f>
        <v>0.539554794520548</v>
      </c>
      <c r="M17" s="126">
        <v>5773346.1970490608</v>
      </c>
      <c r="N17" s="85">
        <f>IFERROR(M17/K17,"")</f>
        <v>1832.2266572672361</v>
      </c>
      <c r="O17" s="126">
        <v>804426.67583998712</v>
      </c>
      <c r="P17" s="85">
        <f>IFERROR(O17/K17,"")</f>
        <v>255.29250264677472</v>
      </c>
      <c r="Q17" s="86">
        <f>IF(M17=0,"",M17-O17)</f>
        <v>4968919.5212090742</v>
      </c>
      <c r="R17" s="85">
        <f>IFERROR(Q17/K17,"")</f>
        <v>1576.9341546204614</v>
      </c>
    </row>
    <row r="18" spans="1:18" x14ac:dyDescent="0.35">
      <c r="A18" s="101" t="s">
        <v>447</v>
      </c>
      <c r="B18" s="217"/>
      <c r="C18" s="217"/>
      <c r="D18" s="217"/>
      <c r="E18" s="217"/>
      <c r="F18" s="218"/>
      <c r="G18" s="219"/>
      <c r="H18" s="219"/>
      <c r="I18" s="104"/>
      <c r="J18" s="99" t="s">
        <v>51</v>
      </c>
      <c r="K18" s="221">
        <v>3151</v>
      </c>
      <c r="L18" s="89"/>
      <c r="M18" s="87"/>
      <c r="N18" s="87"/>
      <c r="O18" s="87"/>
      <c r="P18" s="87"/>
      <c r="Q18" s="87"/>
      <c r="R18" s="87"/>
    </row>
    <row r="19" spans="1:18" x14ac:dyDescent="0.35">
      <c r="A19" s="102" t="s">
        <v>448</v>
      </c>
      <c r="B19" s="224"/>
      <c r="C19" s="224"/>
      <c r="D19" s="224"/>
      <c r="E19" s="224"/>
      <c r="F19" s="225"/>
      <c r="G19" s="226"/>
      <c r="H19" s="226"/>
      <c r="I19" s="105"/>
      <c r="J19" s="114"/>
      <c r="K19" s="228"/>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54"/>
      <c r="C22" s="555"/>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1"/>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54"/>
      <c r="C27" s="555"/>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1"/>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54"/>
      <c r="C32" s="555"/>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54"/>
      <c r="C37" s="555"/>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54"/>
      <c r="C42" s="555"/>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54"/>
      <c r="C47" s="555"/>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54"/>
      <c r="C52" s="555"/>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54"/>
      <c r="C57" s="555"/>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54"/>
      <c r="C62" s="555"/>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54"/>
      <c r="C67" s="555"/>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54"/>
      <c r="C72" s="555"/>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54"/>
      <c r="C77" s="555"/>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54"/>
      <c r="C82" s="555"/>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54"/>
      <c r="C87" s="555"/>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54"/>
      <c r="C92" s="555"/>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54"/>
      <c r="C97" s="555"/>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54"/>
      <c r="C102" s="555"/>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54"/>
      <c r="C107" s="555"/>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54"/>
      <c r="C112" s="555"/>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54"/>
      <c r="C117" s="555"/>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54"/>
      <c r="C122" s="555"/>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54"/>
      <c r="C127" s="555"/>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54"/>
      <c r="C132" s="555"/>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54"/>
      <c r="C137" s="555"/>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54"/>
      <c r="C142" s="555"/>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54"/>
      <c r="C147" s="555"/>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54"/>
      <c r="C152" s="555"/>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54"/>
      <c r="C157" s="555"/>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54"/>
      <c r="C162" s="555"/>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17" t="s">
        <v>173</v>
      </c>
      <c r="C167" s="517"/>
      <c r="D167" s="517"/>
      <c r="E167" s="517"/>
      <c r="F167" s="27">
        <f>F162+F157+F152+F147+F142+F137+F132+F127+F122+F117+F112+F107+F102+F97+F92+F87+F82+F77+F72+F67+F62+F57+F52+F47+F42+F37+F32+F27+F22+F17</f>
        <v>16</v>
      </c>
      <c r="G167" s="32"/>
      <c r="H167" s="32"/>
      <c r="I167" s="32"/>
      <c r="J167" s="32"/>
      <c r="K167" s="27">
        <f>K162+K157+K152+K147+K142+K137+K132+K127+K122+K117+K112+K107+K102+K97+K92+K87+K82+K77+K72+K67+K62+K57+K52+K47+K42+K37+K32+K27+K22+K17</f>
        <v>3151</v>
      </c>
      <c r="L167" s="29">
        <f>IF(K167&gt;0,K167/(F167*365),"")</f>
        <v>0.539554794520548</v>
      </c>
      <c r="M167" s="27">
        <f>M162+M157+M152+M147+M142+M137+M132+M127+M122+M117+M112+M107+M102+M97+M92+M87+M82+M77+M72+M67+M62+M57+M52+M47+M42+M37+M32+M27+M22+M17</f>
        <v>5773346.1970490608</v>
      </c>
      <c r="N167" s="17">
        <f t="shared" ref="N167" si="0">IFERROR(M167/K167,"")</f>
        <v>1832.2266572672361</v>
      </c>
      <c r="O167" s="27">
        <f>O162+O157+O152+O147+O142+O137+O132+O127+O122+O117+O112+O107+O102+O97+O92+O87+O82+O77+O72+O67+O62+O57+O52+O47+O42+O37+O32+O27+O22+O17</f>
        <v>804426.67583998712</v>
      </c>
      <c r="P167" s="17">
        <f t="shared" ref="P167" si="1">IFERROR(O167/K167,"")</f>
        <v>255.29250264677472</v>
      </c>
      <c r="Q167" s="30">
        <f t="shared" ref="Q167" si="2">IF(M167=0,"",M167-O167)</f>
        <v>4968919.5212090742</v>
      </c>
      <c r="R167" s="17">
        <f t="shared" ref="R167" si="3">IFERROR(Q167/K167,"")</f>
        <v>1576.9341546204614</v>
      </c>
    </row>
    <row r="169" spans="1:18" x14ac:dyDescent="0.35">
      <c r="A169" s="19">
        <v>32</v>
      </c>
      <c r="L169" s="37" t="s">
        <v>199</v>
      </c>
      <c r="M169" s="39">
        <f>'As-Filed Schedule 1'!G91</f>
        <v>3981756.2478900878</v>
      </c>
    </row>
    <row r="170" spans="1:18" x14ac:dyDescent="0.35">
      <c r="A170" s="19">
        <v>33</v>
      </c>
      <c r="L170" s="37" t="s">
        <v>186</v>
      </c>
      <c r="M170" s="39">
        <f>'As-Filed Schedule 1'!G93</f>
        <v>1791589.9491589726</v>
      </c>
    </row>
    <row r="171" spans="1:18" x14ac:dyDescent="0.35">
      <c r="A171" s="19">
        <v>34</v>
      </c>
      <c r="L171" s="37" t="s">
        <v>200</v>
      </c>
      <c r="M171" s="18">
        <f>SUM(M169:M170)</f>
        <v>5773346.1970490608</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3151</v>
      </c>
      <c r="L177" s="27">
        <f>'As-Filed Schedule 4'!D125+'As-Filed Schedule 4'!H125</f>
        <v>3151</v>
      </c>
      <c r="M177" s="27">
        <f t="shared" si="4"/>
        <v>0</v>
      </c>
      <c r="N177" s="92" t="str">
        <f t="shared" si="5"/>
        <v/>
      </c>
    </row>
    <row r="178" spans="1:14" x14ac:dyDescent="0.35">
      <c r="A178" s="19">
        <v>39</v>
      </c>
      <c r="C178" s="234" t="s">
        <v>468</v>
      </c>
      <c r="D178" s="235"/>
      <c r="E178" s="235"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477</v>
      </c>
      <c r="D179" s="235"/>
      <c r="E179" s="235"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37:C37"/>
    <mergeCell ref="B32:C32"/>
    <mergeCell ref="B22:C22"/>
    <mergeCell ref="B67:C67"/>
    <mergeCell ref="B72:C72"/>
    <mergeCell ref="B42:C42"/>
    <mergeCell ref="B52:C52"/>
    <mergeCell ref="B47:C47"/>
    <mergeCell ref="B57:C57"/>
    <mergeCell ref="B62:C62"/>
    <mergeCell ref="B87:C87"/>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27:C27"/>
    <mergeCell ref="B162:C162"/>
    <mergeCell ref="B132:C132"/>
    <mergeCell ref="B137:C137"/>
    <mergeCell ref="B142:C142"/>
    <mergeCell ref="B147:C147"/>
    <mergeCell ref="B152:C152"/>
    <mergeCell ref="B77:C77"/>
    <mergeCell ref="B82:C82"/>
    <mergeCell ref="B17:C17"/>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E20" sqref="E20"/>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4.9" customHeight="1" x14ac:dyDescent="0.5">
      <c r="A3" s="5" t="s">
        <v>929</v>
      </c>
      <c r="B3" s="5"/>
      <c r="C3" s="7"/>
      <c r="D3" s="54"/>
      <c r="E3" s="51"/>
      <c r="F3" s="51"/>
      <c r="G3" s="52"/>
      <c r="H3" s="52"/>
      <c r="I3" s="14"/>
      <c r="J3" s="14"/>
    </row>
    <row r="4" spans="1:12" x14ac:dyDescent="0.35">
      <c r="D4" s="54"/>
      <c r="E4" s="49"/>
      <c r="F4" s="49"/>
      <c r="G4" s="50"/>
      <c r="H4" s="50"/>
      <c r="K4" s="529"/>
      <c r="L4" s="529"/>
    </row>
    <row r="5" spans="1:12" ht="15" customHeight="1" x14ac:dyDescent="0.35">
      <c r="A5" s="1" t="s">
        <v>773</v>
      </c>
      <c r="C5" s="419" t="str">
        <f>'As-Filed Schedule 1'!C5</f>
        <v>Diversus Health</v>
      </c>
      <c r="D5" s="55"/>
      <c r="E5" s="53"/>
      <c r="F5" s="53"/>
      <c r="G5" s="50"/>
      <c r="H5" s="50"/>
      <c r="K5" s="529"/>
      <c r="L5" s="529"/>
    </row>
    <row r="6" spans="1:12" x14ac:dyDescent="0.35">
      <c r="A6" s="1" t="s">
        <v>0</v>
      </c>
      <c r="C6" s="35">
        <f>'As-Filed Schedule 1'!C6</f>
        <v>45473</v>
      </c>
      <c r="D6" s="35"/>
      <c r="E6" s="35"/>
      <c r="F6" s="35"/>
      <c r="K6" s="529"/>
      <c r="L6" s="529"/>
    </row>
    <row r="7" spans="1:12" x14ac:dyDescent="0.35">
      <c r="A7" s="1"/>
      <c r="C7" s="35"/>
      <c r="D7" s="23">
        <v>1</v>
      </c>
      <c r="E7" s="35"/>
      <c r="F7" s="23">
        <v>3</v>
      </c>
      <c r="H7" s="205"/>
      <c r="I7" s="175">
        <v>6</v>
      </c>
      <c r="J7" s="205"/>
      <c r="K7" s="175">
        <v>8</v>
      </c>
      <c r="L7" s="81"/>
    </row>
    <row r="8" spans="1:12" x14ac:dyDescent="0.35">
      <c r="A8" s="19">
        <v>1</v>
      </c>
      <c r="C8" s="46" t="s">
        <v>193</v>
      </c>
      <c r="D8" s="26">
        <f>'As-Filed Schedule 1'!F95</f>
        <v>36037838.667005494</v>
      </c>
      <c r="E8" s="46" t="s">
        <v>197</v>
      </c>
      <c r="F8" s="31">
        <f>F197</f>
        <v>36135.040000000001</v>
      </c>
      <c r="H8" s="426" t="s">
        <v>857</v>
      </c>
      <c r="I8" s="26">
        <f>'As-Filed Schedule 1'!F95</f>
        <v>36037838.667005494</v>
      </c>
      <c r="J8" s="426" t="s">
        <v>858</v>
      </c>
      <c r="K8" s="180"/>
      <c r="L8" s="25"/>
    </row>
    <row r="9" spans="1:12" x14ac:dyDescent="0.35">
      <c r="A9" s="19">
        <v>2</v>
      </c>
      <c r="C9" s="46" t="s">
        <v>251</v>
      </c>
      <c r="D9" s="117"/>
      <c r="E9" s="46" t="s">
        <v>198</v>
      </c>
      <c r="F9" s="31">
        <f>J197</f>
        <v>350327.89999999997</v>
      </c>
      <c r="H9" s="426" t="s">
        <v>859</v>
      </c>
      <c r="I9" s="180"/>
      <c r="J9" s="533"/>
      <c r="K9" s="533"/>
      <c r="L9" s="45"/>
    </row>
    <row r="10" spans="1:12" x14ac:dyDescent="0.35">
      <c r="A10" s="19">
        <v>3</v>
      </c>
      <c r="C10" s="42" t="s">
        <v>194</v>
      </c>
      <c r="D10" s="18">
        <f>D8-D9</f>
        <v>36037838.667005494</v>
      </c>
      <c r="E10" s="42" t="s">
        <v>195</v>
      </c>
      <c r="F10" s="9">
        <f>SUM(F8:F9)</f>
        <v>386462.93999999994</v>
      </c>
      <c r="H10" s="427" t="s">
        <v>860</v>
      </c>
      <c r="I10" s="185">
        <f>I8-I9</f>
        <v>36037838.667005494</v>
      </c>
      <c r="J10" s="533"/>
      <c r="K10" s="533"/>
      <c r="L10" s="45"/>
    </row>
    <row r="11" spans="1:12" x14ac:dyDescent="0.35">
      <c r="A11" s="1"/>
      <c r="H11" s="206"/>
      <c r="I11" s="206"/>
      <c r="J11" s="533"/>
      <c r="K11" s="534"/>
      <c r="L11" s="45"/>
    </row>
    <row r="12" spans="1:12" ht="18.5" x14ac:dyDescent="0.45">
      <c r="A12" s="19">
        <v>4</v>
      </c>
      <c r="E12" s="44" t="s">
        <v>196</v>
      </c>
      <c r="F12" s="43">
        <f>D10/F10</f>
        <v>93.250438624219697</v>
      </c>
      <c r="H12" s="206"/>
      <c r="I12" s="206"/>
      <c r="J12" s="428" t="s">
        <v>861</v>
      </c>
      <c r="K12" s="429" t="e">
        <f>I10/K8</f>
        <v>#DIV/0!</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30" t="s">
        <v>191</v>
      </c>
      <c r="E15" s="531"/>
      <c r="F15" s="531"/>
      <c r="G15" s="532"/>
      <c r="H15" s="530" t="s">
        <v>192</v>
      </c>
      <c r="I15" s="531"/>
      <c r="J15" s="531"/>
      <c r="K15" s="532"/>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3" t="s">
        <v>787</v>
      </c>
      <c r="C17" s="20" t="s">
        <v>788</v>
      </c>
      <c r="D17" s="116">
        <v>0</v>
      </c>
      <c r="E17" s="409">
        <v>0</v>
      </c>
      <c r="F17" s="148">
        <f>D17*E17</f>
        <v>0</v>
      </c>
      <c r="G17" s="149">
        <f t="shared" ref="G17" si="0">E17*$F$12</f>
        <v>0</v>
      </c>
      <c r="H17" s="150">
        <v>0</v>
      </c>
      <c r="I17" s="409">
        <v>0</v>
      </c>
      <c r="J17" s="47">
        <f>H17*I17</f>
        <v>0</v>
      </c>
      <c r="K17" s="21">
        <f t="shared" ref="K17" si="1">I17*$F$12</f>
        <v>0</v>
      </c>
    </row>
    <row r="18" spans="1:11" s="22" customFormat="1" x14ac:dyDescent="0.35">
      <c r="A18" s="19">
        <v>6</v>
      </c>
      <c r="B18" s="19">
        <v>80305</v>
      </c>
      <c r="C18" s="20" t="s">
        <v>111</v>
      </c>
      <c r="D18" s="116">
        <v>0</v>
      </c>
      <c r="E18" s="409">
        <v>0</v>
      </c>
      <c r="F18" s="148">
        <f>D18*E18</f>
        <v>0</v>
      </c>
      <c r="G18" s="149">
        <f t="shared" ref="G18:G73" si="2">E18*$F$12</f>
        <v>0</v>
      </c>
      <c r="H18" s="150">
        <v>0</v>
      </c>
      <c r="I18" s="409">
        <v>0</v>
      </c>
      <c r="J18" s="47">
        <f>H18*I18</f>
        <v>0</v>
      </c>
      <c r="K18" s="21">
        <f t="shared" ref="K18:K73" si="3">I18*$F$12</f>
        <v>0</v>
      </c>
    </row>
    <row r="19" spans="1:11" s="22" customFormat="1" x14ac:dyDescent="0.35">
      <c r="A19" s="19">
        <v>7</v>
      </c>
      <c r="B19" s="19">
        <v>80306</v>
      </c>
      <c r="C19" s="20" t="s">
        <v>41</v>
      </c>
      <c r="D19" s="116">
        <v>0</v>
      </c>
      <c r="E19" s="409">
        <v>0</v>
      </c>
      <c r="F19" s="148">
        <f>D19*E19</f>
        <v>0</v>
      </c>
      <c r="G19" s="149">
        <f t="shared" si="2"/>
        <v>0</v>
      </c>
      <c r="H19" s="150">
        <v>0</v>
      </c>
      <c r="I19" s="409">
        <v>0</v>
      </c>
      <c r="J19" s="47">
        <f t="shared" ref="J19:J74" si="4">H19*I19</f>
        <v>0</v>
      </c>
      <c r="K19" s="21">
        <f t="shared" si="3"/>
        <v>0</v>
      </c>
    </row>
    <row r="20" spans="1:11" s="22" customFormat="1" x14ac:dyDescent="0.35">
      <c r="A20" s="19">
        <v>8</v>
      </c>
      <c r="B20" s="19">
        <v>82075</v>
      </c>
      <c r="C20" s="20" t="s">
        <v>112</v>
      </c>
      <c r="D20" s="116">
        <v>0</v>
      </c>
      <c r="E20" s="409">
        <v>0</v>
      </c>
      <c r="F20" s="148">
        <f t="shared" ref="F20:F74" si="5">D20*E20</f>
        <v>0</v>
      </c>
      <c r="G20" s="149">
        <f t="shared" si="2"/>
        <v>0</v>
      </c>
      <c r="H20" s="150">
        <v>0</v>
      </c>
      <c r="I20" s="409">
        <v>0</v>
      </c>
      <c r="J20" s="47">
        <f t="shared" si="4"/>
        <v>0</v>
      </c>
      <c r="K20" s="21">
        <f t="shared" si="3"/>
        <v>0</v>
      </c>
    </row>
    <row r="21" spans="1:11" s="22" customFormat="1" x14ac:dyDescent="0.35">
      <c r="A21" s="19">
        <v>9</v>
      </c>
      <c r="B21" s="19">
        <v>90785</v>
      </c>
      <c r="C21" s="20" t="s">
        <v>319</v>
      </c>
      <c r="D21" s="116">
        <v>3</v>
      </c>
      <c r="E21" s="409">
        <v>0.44</v>
      </c>
      <c r="F21" s="47">
        <f t="shared" si="5"/>
        <v>1.32</v>
      </c>
      <c r="G21" s="21">
        <f t="shared" si="2"/>
        <v>41.030192994656666</v>
      </c>
      <c r="H21" s="150">
        <v>475</v>
      </c>
      <c r="I21" s="409">
        <v>0.39</v>
      </c>
      <c r="J21" s="47">
        <f t="shared" si="4"/>
        <v>185.25</v>
      </c>
      <c r="K21" s="21">
        <f t="shared" si="3"/>
        <v>36.367671063445684</v>
      </c>
    </row>
    <row r="22" spans="1:11" s="22" customFormat="1" x14ac:dyDescent="0.35">
      <c r="A22" s="19">
        <v>10</v>
      </c>
      <c r="B22" s="19">
        <v>90791</v>
      </c>
      <c r="C22" s="20" t="s">
        <v>320</v>
      </c>
      <c r="D22" s="116">
        <v>275</v>
      </c>
      <c r="E22" s="409">
        <v>5.17</v>
      </c>
      <c r="F22" s="47">
        <f t="shared" si="5"/>
        <v>1421.75</v>
      </c>
      <c r="G22" s="21">
        <f t="shared" si="2"/>
        <v>482.10476768721583</v>
      </c>
      <c r="H22" s="150">
        <v>6574</v>
      </c>
      <c r="I22" s="409">
        <v>4.43</v>
      </c>
      <c r="J22" s="47">
        <f t="shared" si="4"/>
        <v>29122.82</v>
      </c>
      <c r="K22" s="21">
        <f t="shared" si="3"/>
        <v>413.09944310529323</v>
      </c>
    </row>
    <row r="23" spans="1:11" s="22" customFormat="1" x14ac:dyDescent="0.35">
      <c r="A23" s="19">
        <v>11</v>
      </c>
      <c r="B23" s="19">
        <v>90792</v>
      </c>
      <c r="C23" s="20" t="s">
        <v>321</v>
      </c>
      <c r="D23" s="116">
        <v>69</v>
      </c>
      <c r="E23" s="409">
        <v>5.82</v>
      </c>
      <c r="F23" s="47">
        <f t="shared" si="5"/>
        <v>401.58000000000004</v>
      </c>
      <c r="G23" s="21">
        <f t="shared" si="2"/>
        <v>542.71755279295871</v>
      </c>
      <c r="H23" s="150">
        <v>2801</v>
      </c>
      <c r="I23" s="409">
        <v>5.08</v>
      </c>
      <c r="J23" s="47">
        <f t="shared" si="4"/>
        <v>14229.08</v>
      </c>
      <c r="K23" s="21">
        <f t="shared" si="3"/>
        <v>473.71222821103606</v>
      </c>
    </row>
    <row r="24" spans="1:11" s="22" customFormat="1" x14ac:dyDescent="0.35">
      <c r="A24" s="19">
        <v>12</v>
      </c>
      <c r="B24" s="19">
        <v>90832</v>
      </c>
      <c r="C24" s="20" t="s">
        <v>325</v>
      </c>
      <c r="D24" s="116">
        <v>406</v>
      </c>
      <c r="E24" s="409">
        <v>2.35</v>
      </c>
      <c r="F24" s="47">
        <f t="shared" si="5"/>
        <v>954.1</v>
      </c>
      <c r="G24" s="21">
        <f t="shared" si="2"/>
        <v>219.13853076691629</v>
      </c>
      <c r="H24" s="150">
        <v>6201</v>
      </c>
      <c r="I24" s="409">
        <v>2.0499999999999998</v>
      </c>
      <c r="J24" s="47">
        <f t="shared" si="4"/>
        <v>12712.05</v>
      </c>
      <c r="K24" s="21">
        <f t="shared" si="3"/>
        <v>191.16339917965036</v>
      </c>
    </row>
    <row r="25" spans="1:11" s="22" customFormat="1" x14ac:dyDescent="0.35">
      <c r="A25" s="19">
        <v>13</v>
      </c>
      <c r="B25" s="19">
        <v>90833</v>
      </c>
      <c r="C25" s="20" t="s">
        <v>322</v>
      </c>
      <c r="D25" s="116">
        <v>0</v>
      </c>
      <c r="E25" s="409">
        <v>2.16</v>
      </c>
      <c r="F25" s="47">
        <f t="shared" si="5"/>
        <v>0</v>
      </c>
      <c r="G25" s="21">
        <f t="shared" si="2"/>
        <v>201.42094742831455</v>
      </c>
      <c r="H25" s="150">
        <v>721</v>
      </c>
      <c r="I25" s="409">
        <v>1.92</v>
      </c>
      <c r="J25" s="47">
        <f t="shared" si="4"/>
        <v>1384.32</v>
      </c>
      <c r="K25" s="21">
        <f t="shared" si="3"/>
        <v>179.04084215850182</v>
      </c>
    </row>
    <row r="26" spans="1:11" s="22" customFormat="1" x14ac:dyDescent="0.35">
      <c r="A26" s="19">
        <v>14</v>
      </c>
      <c r="B26" s="19">
        <v>90834</v>
      </c>
      <c r="C26" s="20" t="s">
        <v>323</v>
      </c>
      <c r="D26" s="116">
        <v>819</v>
      </c>
      <c r="E26" s="409">
        <v>3.1</v>
      </c>
      <c r="F26" s="47">
        <f t="shared" si="5"/>
        <v>2538.9</v>
      </c>
      <c r="G26" s="21">
        <f t="shared" si="2"/>
        <v>289.07635973508104</v>
      </c>
      <c r="H26" s="150">
        <v>18573</v>
      </c>
      <c r="I26" s="409">
        <v>2.71</v>
      </c>
      <c r="J26" s="47">
        <f t="shared" si="4"/>
        <v>50332.83</v>
      </c>
      <c r="K26" s="21">
        <f t="shared" si="3"/>
        <v>252.70868867163537</v>
      </c>
    </row>
    <row r="27" spans="1:11" s="22" customFormat="1" x14ac:dyDescent="0.35">
      <c r="A27" s="19">
        <v>15</v>
      </c>
      <c r="B27" s="19">
        <v>90836</v>
      </c>
      <c r="C27" s="20" t="s">
        <v>326</v>
      </c>
      <c r="D27" s="116">
        <v>0</v>
      </c>
      <c r="E27" s="409">
        <v>2.73</v>
      </c>
      <c r="F27" s="47">
        <f t="shared" si="5"/>
        <v>0</v>
      </c>
      <c r="G27" s="21">
        <f t="shared" si="2"/>
        <v>254.57369744411977</v>
      </c>
      <c r="H27" s="150">
        <v>0</v>
      </c>
      <c r="I27" s="409">
        <v>2.4300000000000002</v>
      </c>
      <c r="J27" s="47">
        <f t="shared" si="4"/>
        <v>0</v>
      </c>
      <c r="K27" s="21">
        <f t="shared" si="3"/>
        <v>226.59856585685387</v>
      </c>
    </row>
    <row r="28" spans="1:11" s="22" customFormat="1" x14ac:dyDescent="0.35">
      <c r="A28" s="19">
        <v>16</v>
      </c>
      <c r="B28" s="19">
        <v>90837</v>
      </c>
      <c r="C28" s="20" t="s">
        <v>324</v>
      </c>
      <c r="D28" s="116">
        <v>738</v>
      </c>
      <c r="E28" s="409">
        <v>4.57</v>
      </c>
      <c r="F28" s="47">
        <f t="shared" si="5"/>
        <v>3372.6600000000003</v>
      </c>
      <c r="G28" s="21">
        <f t="shared" si="2"/>
        <v>426.15450451268407</v>
      </c>
      <c r="H28" s="150">
        <v>17406</v>
      </c>
      <c r="I28" s="409">
        <v>4</v>
      </c>
      <c r="J28" s="47">
        <f t="shared" si="4"/>
        <v>69624</v>
      </c>
      <c r="K28" s="21">
        <f t="shared" si="3"/>
        <v>373.00175449687879</v>
      </c>
    </row>
    <row r="29" spans="1:11" s="22" customFormat="1" x14ac:dyDescent="0.35">
      <c r="A29" s="19">
        <v>17</v>
      </c>
      <c r="B29" s="19">
        <v>90838</v>
      </c>
      <c r="C29" s="20" t="s">
        <v>327</v>
      </c>
      <c r="D29" s="116">
        <v>0</v>
      </c>
      <c r="E29" s="409">
        <v>3.62</v>
      </c>
      <c r="F29" s="47">
        <f t="shared" si="5"/>
        <v>0</v>
      </c>
      <c r="G29" s="21">
        <f t="shared" si="2"/>
        <v>337.56658781967531</v>
      </c>
      <c r="H29" s="150">
        <v>0</v>
      </c>
      <c r="I29" s="409">
        <v>3.22</v>
      </c>
      <c r="J29" s="47">
        <f t="shared" si="4"/>
        <v>0</v>
      </c>
      <c r="K29" s="21">
        <f t="shared" si="3"/>
        <v>300.26641236998745</v>
      </c>
    </row>
    <row r="30" spans="1:11" s="22" customFormat="1" x14ac:dyDescent="0.35">
      <c r="A30" s="19">
        <v>18</v>
      </c>
      <c r="B30" s="19">
        <v>90839</v>
      </c>
      <c r="C30" s="20" t="s">
        <v>329</v>
      </c>
      <c r="D30" s="116">
        <v>4</v>
      </c>
      <c r="E30" s="409">
        <v>4.4000000000000004</v>
      </c>
      <c r="F30" s="47">
        <f t="shared" si="5"/>
        <v>17.600000000000001</v>
      </c>
      <c r="G30" s="21">
        <f t="shared" si="2"/>
        <v>410.3019299465667</v>
      </c>
      <c r="H30" s="150">
        <v>58</v>
      </c>
      <c r="I30" s="409">
        <v>3.87</v>
      </c>
      <c r="J30" s="47">
        <f t="shared" si="4"/>
        <v>224.46</v>
      </c>
      <c r="K30" s="21">
        <f t="shared" si="3"/>
        <v>360.87919747573022</v>
      </c>
    </row>
    <row r="31" spans="1:11" s="22" customFormat="1" x14ac:dyDescent="0.35">
      <c r="A31" s="19">
        <v>19</v>
      </c>
      <c r="B31" s="19">
        <v>90840</v>
      </c>
      <c r="C31" s="20" t="s">
        <v>328</v>
      </c>
      <c r="D31" s="116">
        <v>0</v>
      </c>
      <c r="E31" s="409">
        <v>2.1800000000000002</v>
      </c>
      <c r="F31" s="47">
        <f t="shared" si="5"/>
        <v>0</v>
      </c>
      <c r="G31" s="21">
        <f t="shared" si="2"/>
        <v>203.28595620079895</v>
      </c>
      <c r="H31" s="150">
        <v>0</v>
      </c>
      <c r="I31" s="409">
        <v>1.94</v>
      </c>
      <c r="J31" s="47">
        <f t="shared" si="4"/>
        <v>0</v>
      </c>
      <c r="K31" s="21">
        <f t="shared" si="3"/>
        <v>180.90585093098622</v>
      </c>
    </row>
    <row r="32" spans="1:11" s="22" customFormat="1" x14ac:dyDescent="0.35">
      <c r="A32" s="19">
        <v>20</v>
      </c>
      <c r="B32" s="19">
        <v>90846</v>
      </c>
      <c r="C32" s="20" t="s">
        <v>113</v>
      </c>
      <c r="D32" s="116">
        <v>4</v>
      </c>
      <c r="E32" s="409">
        <v>2.93</v>
      </c>
      <c r="F32" s="47">
        <f t="shared" si="5"/>
        <v>11.72</v>
      </c>
      <c r="G32" s="21">
        <f t="shared" si="2"/>
        <v>273.22378516896373</v>
      </c>
      <c r="H32" s="150">
        <v>495</v>
      </c>
      <c r="I32" s="409">
        <v>2.92</v>
      </c>
      <c r="J32" s="47">
        <f t="shared" si="4"/>
        <v>1445.3999999999999</v>
      </c>
      <c r="K32" s="21">
        <f t="shared" si="3"/>
        <v>272.29128078272151</v>
      </c>
    </row>
    <row r="33" spans="1:11" s="22" customFormat="1" x14ac:dyDescent="0.35">
      <c r="A33" s="19">
        <v>21</v>
      </c>
      <c r="B33" s="19">
        <v>90847</v>
      </c>
      <c r="C33" s="20" t="s">
        <v>114</v>
      </c>
      <c r="D33" s="116">
        <v>7</v>
      </c>
      <c r="E33" s="409">
        <v>3.07</v>
      </c>
      <c r="F33" s="47">
        <f t="shared" si="5"/>
        <v>21.49</v>
      </c>
      <c r="G33" s="21">
        <f t="shared" si="2"/>
        <v>286.27884657635445</v>
      </c>
      <c r="H33" s="150">
        <v>767</v>
      </c>
      <c r="I33" s="409">
        <v>3.05</v>
      </c>
      <c r="J33" s="47">
        <f t="shared" si="4"/>
        <v>2339.35</v>
      </c>
      <c r="K33" s="21">
        <f t="shared" si="3"/>
        <v>284.41383780387008</v>
      </c>
    </row>
    <row r="34" spans="1:11" s="22" customFormat="1" x14ac:dyDescent="0.35">
      <c r="A34" s="19">
        <v>22</v>
      </c>
      <c r="B34" s="19">
        <v>90849</v>
      </c>
      <c r="C34" s="20" t="s">
        <v>115</v>
      </c>
      <c r="D34" s="116">
        <v>0</v>
      </c>
      <c r="E34" s="409">
        <v>1.1299999999999999</v>
      </c>
      <c r="F34" s="47">
        <f t="shared" si="5"/>
        <v>0</v>
      </c>
      <c r="G34" s="21">
        <f t="shared" si="2"/>
        <v>105.37299564536825</v>
      </c>
      <c r="H34" s="150">
        <v>12</v>
      </c>
      <c r="I34" s="409">
        <v>0.88</v>
      </c>
      <c r="J34" s="47">
        <f t="shared" si="4"/>
        <v>10.56</v>
      </c>
      <c r="K34" s="21">
        <f t="shared" si="3"/>
        <v>82.060385989313332</v>
      </c>
    </row>
    <row r="35" spans="1:11" s="22" customFormat="1" x14ac:dyDescent="0.35">
      <c r="A35" s="19">
        <v>23</v>
      </c>
      <c r="B35" s="19">
        <v>90853</v>
      </c>
      <c r="C35" s="20" t="s">
        <v>116</v>
      </c>
      <c r="D35" s="116">
        <v>0</v>
      </c>
      <c r="E35" s="409">
        <v>0.83</v>
      </c>
      <c r="F35" s="47">
        <f t="shared" si="5"/>
        <v>0</v>
      </c>
      <c r="G35" s="21">
        <f t="shared" si="2"/>
        <v>77.397864058102343</v>
      </c>
      <c r="H35" s="150">
        <v>3392</v>
      </c>
      <c r="I35" s="409">
        <v>0.72</v>
      </c>
      <c r="J35" s="47">
        <f t="shared" si="4"/>
        <v>2442.2399999999998</v>
      </c>
      <c r="K35" s="21">
        <f t="shared" si="3"/>
        <v>67.140315809438178</v>
      </c>
    </row>
    <row r="36" spans="1:11" s="22" customFormat="1" x14ac:dyDescent="0.35">
      <c r="A36" s="19">
        <v>24</v>
      </c>
      <c r="B36" s="19">
        <v>90870</v>
      </c>
      <c r="C36" s="20" t="s">
        <v>117</v>
      </c>
      <c r="D36" s="116">
        <v>0</v>
      </c>
      <c r="E36" s="409">
        <v>5.18</v>
      </c>
      <c r="F36" s="47">
        <f t="shared" si="5"/>
        <v>0</v>
      </c>
      <c r="G36" s="21">
        <f t="shared" si="2"/>
        <v>483.03727207345798</v>
      </c>
      <c r="H36" s="150">
        <v>0</v>
      </c>
      <c r="I36" s="409">
        <v>3.12</v>
      </c>
      <c r="J36" s="47">
        <f t="shared" si="4"/>
        <v>0</v>
      </c>
      <c r="K36" s="21">
        <f t="shared" si="3"/>
        <v>290.94136850756547</v>
      </c>
    </row>
    <row r="37" spans="1:11" s="22" customFormat="1" x14ac:dyDescent="0.35">
      <c r="A37" s="19">
        <v>25</v>
      </c>
      <c r="B37" s="19">
        <v>90875</v>
      </c>
      <c r="C37" s="20" t="s">
        <v>152</v>
      </c>
      <c r="D37" s="116">
        <v>0</v>
      </c>
      <c r="E37" s="409">
        <v>1.75</v>
      </c>
      <c r="F37" s="47">
        <f t="shared" si="5"/>
        <v>0</v>
      </c>
      <c r="G37" s="21">
        <f t="shared" si="2"/>
        <v>163.18826759238448</v>
      </c>
      <c r="H37" s="150">
        <v>0</v>
      </c>
      <c r="I37" s="409">
        <v>1.74</v>
      </c>
      <c r="J37" s="47">
        <f t="shared" si="4"/>
        <v>0</v>
      </c>
      <c r="K37" s="21">
        <f t="shared" si="3"/>
        <v>162.25576320614226</v>
      </c>
    </row>
    <row r="38" spans="1:11" s="22" customFormat="1" x14ac:dyDescent="0.35">
      <c r="A38" s="19">
        <v>26</v>
      </c>
      <c r="B38" s="19">
        <v>90876</v>
      </c>
      <c r="C38" s="20" t="s">
        <v>153</v>
      </c>
      <c r="D38" s="116">
        <v>0</v>
      </c>
      <c r="E38" s="409">
        <v>3.08</v>
      </c>
      <c r="F38" s="47">
        <f t="shared" si="5"/>
        <v>0</v>
      </c>
      <c r="G38" s="21">
        <f t="shared" si="2"/>
        <v>287.21135096259667</v>
      </c>
      <c r="H38" s="150">
        <v>0</v>
      </c>
      <c r="I38" s="409">
        <v>2.76</v>
      </c>
      <c r="J38" s="47">
        <f t="shared" si="4"/>
        <v>0</v>
      </c>
      <c r="K38" s="21">
        <f t="shared" si="3"/>
        <v>257.37121060284636</v>
      </c>
    </row>
    <row r="39" spans="1:11" s="22" customFormat="1" x14ac:dyDescent="0.35">
      <c r="A39" s="19">
        <v>27</v>
      </c>
      <c r="B39" s="19">
        <v>90887</v>
      </c>
      <c r="C39" s="20" t="s">
        <v>330</v>
      </c>
      <c r="D39" s="116">
        <v>0</v>
      </c>
      <c r="E39" s="409">
        <v>2.56</v>
      </c>
      <c r="F39" s="47">
        <f t="shared" si="5"/>
        <v>0</v>
      </c>
      <c r="G39" s="21">
        <f t="shared" si="2"/>
        <v>238.72112287800243</v>
      </c>
      <c r="H39" s="150">
        <v>21</v>
      </c>
      <c r="I39" s="409">
        <v>2.14</v>
      </c>
      <c r="J39" s="47">
        <f t="shared" si="4"/>
        <v>44.940000000000005</v>
      </c>
      <c r="K39" s="21">
        <f t="shared" si="3"/>
        <v>199.55593865583018</v>
      </c>
    </row>
    <row r="40" spans="1:11" s="22" customFormat="1" x14ac:dyDescent="0.35">
      <c r="A40" s="19">
        <v>28</v>
      </c>
      <c r="B40" s="19">
        <v>96116</v>
      </c>
      <c r="C40" s="20" t="s">
        <v>341</v>
      </c>
      <c r="D40" s="116">
        <v>0</v>
      </c>
      <c r="E40" s="409">
        <v>2.76</v>
      </c>
      <c r="F40" s="47">
        <f t="shared" si="5"/>
        <v>0</v>
      </c>
      <c r="G40" s="21">
        <f t="shared" si="2"/>
        <v>257.37121060284636</v>
      </c>
      <c r="H40" s="150">
        <v>0</v>
      </c>
      <c r="I40" s="409">
        <v>2.37</v>
      </c>
      <c r="J40" s="47">
        <f t="shared" si="4"/>
        <v>0</v>
      </c>
      <c r="K40" s="21">
        <f t="shared" si="3"/>
        <v>221.00353953940069</v>
      </c>
    </row>
    <row r="41" spans="1:11" s="22" customFormat="1" x14ac:dyDescent="0.35">
      <c r="A41" s="19">
        <v>29</v>
      </c>
      <c r="B41" s="19">
        <v>96121</v>
      </c>
      <c r="C41" s="20" t="s">
        <v>340</v>
      </c>
      <c r="D41" s="116">
        <v>0</v>
      </c>
      <c r="E41" s="409">
        <v>2.25</v>
      </c>
      <c r="F41" s="47">
        <f t="shared" si="5"/>
        <v>0</v>
      </c>
      <c r="G41" s="21">
        <f t="shared" si="2"/>
        <v>209.81348690449431</v>
      </c>
      <c r="H41" s="150">
        <v>0</v>
      </c>
      <c r="I41" s="409">
        <v>1.97</v>
      </c>
      <c r="J41" s="47">
        <f t="shared" si="4"/>
        <v>0</v>
      </c>
      <c r="K41" s="21">
        <f t="shared" si="3"/>
        <v>183.70336408971281</v>
      </c>
    </row>
    <row r="42" spans="1:11" s="22" customFormat="1" x14ac:dyDescent="0.35">
      <c r="A42" s="19">
        <v>30</v>
      </c>
      <c r="B42" s="19">
        <v>96130</v>
      </c>
      <c r="C42" s="20" t="s">
        <v>338</v>
      </c>
      <c r="D42" s="116">
        <v>0</v>
      </c>
      <c r="E42" s="409">
        <v>3.6</v>
      </c>
      <c r="F42" s="47">
        <f t="shared" si="5"/>
        <v>0</v>
      </c>
      <c r="G42" s="21">
        <f t="shared" si="2"/>
        <v>335.70157904719093</v>
      </c>
      <c r="H42" s="150">
        <v>55</v>
      </c>
      <c r="I42" s="409">
        <v>3.25</v>
      </c>
      <c r="J42" s="47">
        <f t="shared" si="4"/>
        <v>178.75</v>
      </c>
      <c r="K42" s="21">
        <f t="shared" si="3"/>
        <v>303.06392552871404</v>
      </c>
    </row>
    <row r="43" spans="1:11" s="22" customFormat="1" x14ac:dyDescent="0.35">
      <c r="A43" s="19">
        <v>31</v>
      </c>
      <c r="B43" s="19">
        <v>96131</v>
      </c>
      <c r="C43" s="20" t="s">
        <v>339</v>
      </c>
      <c r="D43" s="116">
        <v>0</v>
      </c>
      <c r="E43" s="409">
        <v>2.57</v>
      </c>
      <c r="F43" s="47">
        <f t="shared" si="5"/>
        <v>0</v>
      </c>
      <c r="G43" s="21">
        <f t="shared" si="2"/>
        <v>239.65362726424462</v>
      </c>
      <c r="H43" s="150">
        <v>272</v>
      </c>
      <c r="I43" s="409">
        <v>2.25</v>
      </c>
      <c r="J43" s="47">
        <f t="shared" si="4"/>
        <v>612</v>
      </c>
      <c r="K43" s="21">
        <f t="shared" si="3"/>
        <v>209.81348690449431</v>
      </c>
    </row>
    <row r="44" spans="1:11" s="22" customFormat="1" x14ac:dyDescent="0.35">
      <c r="A44" s="19">
        <v>32</v>
      </c>
      <c r="B44" s="19">
        <v>96132</v>
      </c>
      <c r="C44" s="20" t="s">
        <v>332</v>
      </c>
      <c r="D44" s="116">
        <v>0</v>
      </c>
      <c r="E44" s="409">
        <v>3.85</v>
      </c>
      <c r="F44" s="47">
        <f t="shared" si="5"/>
        <v>0</v>
      </c>
      <c r="G44" s="21">
        <f t="shared" si="2"/>
        <v>359.01418870324585</v>
      </c>
      <c r="H44" s="150">
        <v>0</v>
      </c>
      <c r="I44" s="409">
        <v>3.14</v>
      </c>
      <c r="J44" s="47">
        <f t="shared" si="4"/>
        <v>0</v>
      </c>
      <c r="K44" s="21">
        <f t="shared" si="3"/>
        <v>292.80637728004984</v>
      </c>
    </row>
    <row r="45" spans="1:11" s="22" customFormat="1" x14ac:dyDescent="0.35">
      <c r="A45" s="19">
        <v>33</v>
      </c>
      <c r="B45" s="19">
        <v>96133</v>
      </c>
      <c r="C45" s="20" t="s">
        <v>333</v>
      </c>
      <c r="D45" s="116">
        <v>0</v>
      </c>
      <c r="E45" s="409">
        <v>2.92</v>
      </c>
      <c r="F45" s="47">
        <f t="shared" si="5"/>
        <v>0</v>
      </c>
      <c r="G45" s="21">
        <f t="shared" si="2"/>
        <v>272.29128078272151</v>
      </c>
      <c r="H45" s="150">
        <v>0</v>
      </c>
      <c r="I45" s="409">
        <v>2.2599999999999998</v>
      </c>
      <c r="J45" s="47">
        <f t="shared" si="4"/>
        <v>0</v>
      </c>
      <c r="K45" s="21">
        <f t="shared" si="3"/>
        <v>210.7459912907365</v>
      </c>
    </row>
    <row r="46" spans="1:11" s="22" customFormat="1" x14ac:dyDescent="0.35">
      <c r="A46" s="19">
        <v>34</v>
      </c>
      <c r="B46" s="19">
        <v>96136</v>
      </c>
      <c r="C46" s="20" t="s">
        <v>334</v>
      </c>
      <c r="D46" s="116">
        <v>0</v>
      </c>
      <c r="E46" s="409">
        <v>1.25</v>
      </c>
      <c r="F46" s="47">
        <f t="shared" si="5"/>
        <v>0</v>
      </c>
      <c r="G46" s="21">
        <f t="shared" si="2"/>
        <v>116.56304828027461</v>
      </c>
      <c r="H46" s="150">
        <v>50</v>
      </c>
      <c r="I46" s="409">
        <v>0.69</v>
      </c>
      <c r="J46" s="47">
        <f t="shared" si="4"/>
        <v>34.5</v>
      </c>
      <c r="K46" s="21">
        <f t="shared" si="3"/>
        <v>64.34280265071159</v>
      </c>
    </row>
    <row r="47" spans="1:11" s="22" customFormat="1" x14ac:dyDescent="0.35">
      <c r="A47" s="19">
        <v>35</v>
      </c>
      <c r="B47" s="19">
        <v>96137</v>
      </c>
      <c r="C47" s="20" t="s">
        <v>335</v>
      </c>
      <c r="D47" s="116">
        <v>0</v>
      </c>
      <c r="E47" s="409">
        <v>1.1299999999999999</v>
      </c>
      <c r="F47" s="47">
        <f t="shared" si="5"/>
        <v>0</v>
      </c>
      <c r="G47" s="21">
        <f t="shared" si="2"/>
        <v>105.37299564536825</v>
      </c>
      <c r="H47" s="150">
        <v>477</v>
      </c>
      <c r="I47" s="409">
        <v>0.53</v>
      </c>
      <c r="J47" s="47">
        <f t="shared" si="4"/>
        <v>252.81</v>
      </c>
      <c r="K47" s="21">
        <f t="shared" si="3"/>
        <v>49.422732470836443</v>
      </c>
    </row>
    <row r="48" spans="1:11" s="22" customFormat="1" x14ac:dyDescent="0.35">
      <c r="A48" s="19">
        <v>36</v>
      </c>
      <c r="B48" s="19">
        <v>96138</v>
      </c>
      <c r="C48" s="20" t="s">
        <v>336</v>
      </c>
      <c r="D48" s="116">
        <v>0</v>
      </c>
      <c r="E48" s="409">
        <v>1.03</v>
      </c>
      <c r="F48" s="47">
        <f t="shared" si="5"/>
        <v>0</v>
      </c>
      <c r="G48" s="21">
        <f t="shared" si="2"/>
        <v>96.047951782946285</v>
      </c>
      <c r="H48" s="150">
        <v>0</v>
      </c>
      <c r="I48" s="409">
        <v>0.56999999999999995</v>
      </c>
      <c r="J48" s="47">
        <f t="shared" si="4"/>
        <v>0</v>
      </c>
      <c r="K48" s="21">
        <f t="shared" si="3"/>
        <v>53.152750015805225</v>
      </c>
    </row>
    <row r="49" spans="1:11" s="22" customFormat="1" x14ac:dyDescent="0.35">
      <c r="A49" s="19">
        <v>37</v>
      </c>
      <c r="B49" s="19">
        <v>96139</v>
      </c>
      <c r="C49" s="20" t="s">
        <v>337</v>
      </c>
      <c r="D49" s="116">
        <v>0</v>
      </c>
      <c r="E49" s="409">
        <v>1.06</v>
      </c>
      <c r="F49" s="47">
        <f t="shared" si="5"/>
        <v>0</v>
      </c>
      <c r="G49" s="21">
        <f t="shared" si="2"/>
        <v>98.845464941672887</v>
      </c>
      <c r="H49" s="150">
        <v>0</v>
      </c>
      <c r="I49" s="409">
        <v>0.5</v>
      </c>
      <c r="J49" s="47">
        <f t="shared" si="4"/>
        <v>0</v>
      </c>
      <c r="K49" s="21">
        <f t="shared" si="3"/>
        <v>46.625219312109849</v>
      </c>
    </row>
    <row r="50" spans="1:11" s="22" customFormat="1" x14ac:dyDescent="0.35">
      <c r="A50" s="19">
        <v>38</v>
      </c>
      <c r="B50" s="19">
        <v>96146</v>
      </c>
      <c r="C50" s="20" t="s">
        <v>331</v>
      </c>
      <c r="D50" s="116">
        <v>0</v>
      </c>
      <c r="E50" s="409">
        <v>7.0000000000000007E-2</v>
      </c>
      <c r="F50" s="47">
        <f t="shared" si="5"/>
        <v>0</v>
      </c>
      <c r="G50" s="21">
        <f t="shared" si="2"/>
        <v>6.5275307036953798</v>
      </c>
      <c r="H50" s="150">
        <v>0</v>
      </c>
      <c r="I50" s="409">
        <v>7.0000000000000007E-2</v>
      </c>
      <c r="J50" s="47">
        <f t="shared" si="4"/>
        <v>0</v>
      </c>
      <c r="K50" s="21">
        <f t="shared" si="3"/>
        <v>6.5275307036953798</v>
      </c>
    </row>
    <row r="51" spans="1:11" s="22" customFormat="1" x14ac:dyDescent="0.35">
      <c r="A51" s="19">
        <v>39</v>
      </c>
      <c r="B51" s="19">
        <v>96372</v>
      </c>
      <c r="C51" s="20" t="s">
        <v>118</v>
      </c>
      <c r="D51" s="116">
        <v>157</v>
      </c>
      <c r="E51" s="409">
        <v>0.43</v>
      </c>
      <c r="F51" s="47">
        <f t="shared" si="5"/>
        <v>67.510000000000005</v>
      </c>
      <c r="G51" s="21">
        <f t="shared" si="2"/>
        <v>40.097688608414472</v>
      </c>
      <c r="H51" s="150">
        <v>2341</v>
      </c>
      <c r="I51" s="409">
        <v>0.43</v>
      </c>
      <c r="J51" s="47">
        <f t="shared" si="4"/>
        <v>1006.63</v>
      </c>
      <c r="K51" s="21">
        <f t="shared" si="3"/>
        <v>40.097688608414472</v>
      </c>
    </row>
    <row r="52" spans="1:11" s="22" customFormat="1" x14ac:dyDescent="0.35">
      <c r="A52" s="19">
        <v>40</v>
      </c>
      <c r="B52" s="19">
        <v>97535</v>
      </c>
      <c r="C52" s="20" t="s">
        <v>119</v>
      </c>
      <c r="D52" s="116">
        <v>0</v>
      </c>
      <c r="E52" s="409">
        <v>0.98</v>
      </c>
      <c r="F52" s="47">
        <f t="shared" si="5"/>
        <v>0</v>
      </c>
      <c r="G52" s="21">
        <f t="shared" si="2"/>
        <v>91.385429851735296</v>
      </c>
      <c r="H52" s="150">
        <v>0</v>
      </c>
      <c r="I52" s="409">
        <v>0.98</v>
      </c>
      <c r="J52" s="47">
        <f t="shared" si="4"/>
        <v>0</v>
      </c>
      <c r="K52" s="21">
        <f t="shared" si="3"/>
        <v>91.385429851735296</v>
      </c>
    </row>
    <row r="53" spans="1:11" s="22" customFormat="1" x14ac:dyDescent="0.35">
      <c r="A53" s="19">
        <v>41</v>
      </c>
      <c r="B53" s="19">
        <v>97537</v>
      </c>
      <c r="C53" s="20" t="s">
        <v>120</v>
      </c>
      <c r="D53" s="116">
        <v>0</v>
      </c>
      <c r="E53" s="409">
        <v>0.95</v>
      </c>
      <c r="F53" s="47">
        <f t="shared" si="5"/>
        <v>0</v>
      </c>
      <c r="G53" s="21">
        <f t="shared" si="2"/>
        <v>88.587916693008708</v>
      </c>
      <c r="H53" s="150">
        <v>448</v>
      </c>
      <c r="I53" s="409">
        <v>0.95</v>
      </c>
      <c r="J53" s="47">
        <f t="shared" si="4"/>
        <v>425.59999999999997</v>
      </c>
      <c r="K53" s="21">
        <f t="shared" si="3"/>
        <v>88.587916693008708</v>
      </c>
    </row>
    <row r="54" spans="1:11" s="22" customFormat="1" x14ac:dyDescent="0.35">
      <c r="A54" s="19">
        <v>42</v>
      </c>
      <c r="B54" s="19">
        <v>98966</v>
      </c>
      <c r="C54" s="20" t="s">
        <v>342</v>
      </c>
      <c r="D54" s="116">
        <v>0</v>
      </c>
      <c r="E54" s="409">
        <v>0.39</v>
      </c>
      <c r="F54" s="47">
        <f t="shared" si="5"/>
        <v>0</v>
      </c>
      <c r="G54" s="21">
        <f t="shared" si="2"/>
        <v>36.367671063445684</v>
      </c>
      <c r="H54" s="150">
        <v>0</v>
      </c>
      <c r="I54" s="409">
        <v>0.34</v>
      </c>
      <c r="J54" s="47">
        <f t="shared" si="4"/>
        <v>0</v>
      </c>
      <c r="K54" s="21">
        <f t="shared" si="3"/>
        <v>31.705149132234698</v>
      </c>
    </row>
    <row r="55" spans="1:11" s="22" customFormat="1" x14ac:dyDescent="0.35">
      <c r="A55" s="19">
        <v>43</v>
      </c>
      <c r="B55" s="19">
        <v>98967</v>
      </c>
      <c r="C55" s="20" t="s">
        <v>343</v>
      </c>
      <c r="D55" s="116">
        <v>0</v>
      </c>
      <c r="E55" s="409">
        <v>0.72</v>
      </c>
      <c r="F55" s="47">
        <f t="shared" si="5"/>
        <v>0</v>
      </c>
      <c r="G55" s="21">
        <f t="shared" si="2"/>
        <v>67.140315809438178</v>
      </c>
      <c r="H55" s="150">
        <v>0</v>
      </c>
      <c r="I55" s="409">
        <v>0.66</v>
      </c>
      <c r="J55" s="47">
        <f t="shared" si="4"/>
        <v>0</v>
      </c>
      <c r="K55" s="21">
        <f t="shared" si="3"/>
        <v>61.545289491985002</v>
      </c>
    </row>
    <row r="56" spans="1:11" s="22" customFormat="1" x14ac:dyDescent="0.35">
      <c r="A56" s="19">
        <v>44</v>
      </c>
      <c r="B56" s="19">
        <v>98968</v>
      </c>
      <c r="C56" s="20" t="s">
        <v>344</v>
      </c>
      <c r="D56" s="116">
        <v>0</v>
      </c>
      <c r="E56" s="409">
        <v>0.99</v>
      </c>
      <c r="F56" s="47">
        <f t="shared" si="5"/>
        <v>0</v>
      </c>
      <c r="G56" s="21">
        <f t="shared" si="2"/>
        <v>92.317934237977497</v>
      </c>
      <c r="H56" s="150">
        <v>0</v>
      </c>
      <c r="I56" s="409">
        <v>0.92</v>
      </c>
      <c r="J56" s="47">
        <f t="shared" si="4"/>
        <v>0</v>
      </c>
      <c r="K56" s="21">
        <f t="shared" si="3"/>
        <v>85.79040353428212</v>
      </c>
    </row>
    <row r="57" spans="1:11" s="22" customFormat="1" x14ac:dyDescent="0.35">
      <c r="A57" s="19">
        <v>45</v>
      </c>
      <c r="B57" s="19">
        <v>99202</v>
      </c>
      <c r="C57" s="20" t="s">
        <v>154</v>
      </c>
      <c r="D57" s="116">
        <v>0</v>
      </c>
      <c r="E57" s="409">
        <v>2.17</v>
      </c>
      <c r="F57" s="47">
        <f t="shared" si="5"/>
        <v>0</v>
      </c>
      <c r="G57" s="21">
        <f t="shared" si="2"/>
        <v>202.35345181455673</v>
      </c>
      <c r="H57" s="150">
        <v>0</v>
      </c>
      <c r="I57" s="409">
        <v>1.41</v>
      </c>
      <c r="J57" s="47">
        <f t="shared" si="4"/>
        <v>0</v>
      </c>
      <c r="K57" s="21">
        <f t="shared" si="3"/>
        <v>131.48311846014977</v>
      </c>
    </row>
    <row r="58" spans="1:11" s="22" customFormat="1" x14ac:dyDescent="0.35">
      <c r="A58" s="19">
        <v>46</v>
      </c>
      <c r="B58" s="19">
        <v>99203</v>
      </c>
      <c r="C58" s="20" t="s">
        <v>154</v>
      </c>
      <c r="D58" s="116">
        <v>0</v>
      </c>
      <c r="E58" s="409">
        <v>3.35</v>
      </c>
      <c r="F58" s="47">
        <f t="shared" si="5"/>
        <v>0</v>
      </c>
      <c r="G58" s="21">
        <f t="shared" si="2"/>
        <v>312.38896939113602</v>
      </c>
      <c r="H58" s="150">
        <v>0</v>
      </c>
      <c r="I58" s="409">
        <v>2.44</v>
      </c>
      <c r="J58" s="47">
        <f t="shared" si="4"/>
        <v>0</v>
      </c>
      <c r="K58" s="21">
        <f t="shared" si="3"/>
        <v>227.53107024309605</v>
      </c>
    </row>
    <row r="59" spans="1:11" s="22" customFormat="1" x14ac:dyDescent="0.35">
      <c r="A59" s="19">
        <v>47</v>
      </c>
      <c r="B59" s="19">
        <v>99204</v>
      </c>
      <c r="C59" s="20" t="s">
        <v>154</v>
      </c>
      <c r="D59" s="116">
        <v>0</v>
      </c>
      <c r="E59" s="409">
        <v>5.0199999999999996</v>
      </c>
      <c r="F59" s="47">
        <f t="shared" si="5"/>
        <v>0</v>
      </c>
      <c r="G59" s="21">
        <f t="shared" si="2"/>
        <v>468.11720189358283</v>
      </c>
      <c r="H59" s="150">
        <v>0</v>
      </c>
      <c r="I59" s="409">
        <v>3.97</v>
      </c>
      <c r="J59" s="47">
        <f t="shared" si="4"/>
        <v>0</v>
      </c>
      <c r="K59" s="21">
        <f t="shared" si="3"/>
        <v>370.2042413381522</v>
      </c>
    </row>
    <row r="60" spans="1:11" s="22" customFormat="1" x14ac:dyDescent="0.35">
      <c r="A60" s="19">
        <v>48</v>
      </c>
      <c r="B60" s="19">
        <v>99205</v>
      </c>
      <c r="C60" s="20" t="s">
        <v>154</v>
      </c>
      <c r="D60" s="116">
        <v>0</v>
      </c>
      <c r="E60" s="409">
        <v>6.62</v>
      </c>
      <c r="F60" s="47">
        <f t="shared" si="5"/>
        <v>0</v>
      </c>
      <c r="G60" s="21">
        <f t="shared" si="2"/>
        <v>617.31790369233443</v>
      </c>
      <c r="H60" s="150">
        <v>0</v>
      </c>
      <c r="I60" s="409">
        <v>5.4</v>
      </c>
      <c r="J60" s="47">
        <f t="shared" si="4"/>
        <v>0</v>
      </c>
      <c r="K60" s="21">
        <f t="shared" si="3"/>
        <v>503.55236857078637</v>
      </c>
    </row>
    <row r="61" spans="1:11" s="22" customFormat="1" ht="43.5" x14ac:dyDescent="0.35">
      <c r="A61" s="19">
        <v>49</v>
      </c>
      <c r="B61" s="19">
        <v>99211</v>
      </c>
      <c r="C61" s="20" t="s">
        <v>345</v>
      </c>
      <c r="D61" s="116">
        <v>0</v>
      </c>
      <c r="E61" s="409">
        <v>0.7</v>
      </c>
      <c r="F61" s="47">
        <f t="shared" si="5"/>
        <v>0</v>
      </c>
      <c r="G61" s="21">
        <f t="shared" si="2"/>
        <v>65.275307036953791</v>
      </c>
      <c r="H61" s="150">
        <v>0</v>
      </c>
      <c r="I61" s="409">
        <v>0.26</v>
      </c>
      <c r="J61" s="47">
        <f t="shared" si="4"/>
        <v>0</v>
      </c>
      <c r="K61" s="21">
        <f t="shared" si="3"/>
        <v>24.245114042297121</v>
      </c>
    </row>
    <row r="62" spans="1:11" s="22" customFormat="1" x14ac:dyDescent="0.35">
      <c r="A62" s="19">
        <v>50</v>
      </c>
      <c r="B62" s="19">
        <v>99212</v>
      </c>
      <c r="C62" s="20" t="s">
        <v>155</v>
      </c>
      <c r="D62" s="116">
        <v>0</v>
      </c>
      <c r="E62" s="409">
        <v>1.7</v>
      </c>
      <c r="F62" s="47">
        <f t="shared" si="5"/>
        <v>0</v>
      </c>
      <c r="G62" s="21">
        <f t="shared" si="2"/>
        <v>158.52574566117349</v>
      </c>
      <c r="H62" s="150">
        <v>122</v>
      </c>
      <c r="I62" s="409">
        <v>1.05</v>
      </c>
      <c r="J62" s="47">
        <f t="shared" si="4"/>
        <v>128.1</v>
      </c>
      <c r="K62" s="21">
        <f t="shared" si="3"/>
        <v>97.912960555430686</v>
      </c>
    </row>
    <row r="63" spans="1:11" s="22" customFormat="1" x14ac:dyDescent="0.35">
      <c r="A63" s="19">
        <v>51</v>
      </c>
      <c r="B63" s="19">
        <v>99213</v>
      </c>
      <c r="C63" s="20" t="s">
        <v>155</v>
      </c>
      <c r="D63" s="116">
        <v>16</v>
      </c>
      <c r="E63" s="409">
        <v>2.73</v>
      </c>
      <c r="F63" s="47">
        <f t="shared" si="5"/>
        <v>43.68</v>
      </c>
      <c r="G63" s="21">
        <f t="shared" si="2"/>
        <v>254.57369744411977</v>
      </c>
      <c r="H63" s="150">
        <v>703</v>
      </c>
      <c r="I63" s="409">
        <v>1.96</v>
      </c>
      <c r="J63" s="47">
        <f t="shared" si="4"/>
        <v>1377.8799999999999</v>
      </c>
      <c r="K63" s="21">
        <f t="shared" si="3"/>
        <v>182.77085970347059</v>
      </c>
    </row>
    <row r="64" spans="1:11" s="22" customFormat="1" x14ac:dyDescent="0.35">
      <c r="A64" s="19">
        <v>52</v>
      </c>
      <c r="B64" s="19">
        <v>99214</v>
      </c>
      <c r="C64" s="20" t="s">
        <v>155</v>
      </c>
      <c r="D64" s="116">
        <v>126</v>
      </c>
      <c r="E64" s="409">
        <v>3.85</v>
      </c>
      <c r="F64" s="47">
        <f t="shared" si="5"/>
        <v>485.1</v>
      </c>
      <c r="G64" s="21">
        <f t="shared" si="2"/>
        <v>359.01418870324585</v>
      </c>
      <c r="H64" s="150">
        <v>17147</v>
      </c>
      <c r="I64" s="409">
        <v>2.89</v>
      </c>
      <c r="J64" s="47">
        <f t="shared" si="4"/>
        <v>49554.83</v>
      </c>
      <c r="K64" s="21">
        <f t="shared" si="3"/>
        <v>269.49376762399493</v>
      </c>
    </row>
    <row r="65" spans="1:11" s="22" customFormat="1" x14ac:dyDescent="0.35">
      <c r="A65" s="19">
        <v>53</v>
      </c>
      <c r="B65" s="19">
        <v>99215</v>
      </c>
      <c r="C65" s="20" t="s">
        <v>155</v>
      </c>
      <c r="D65" s="116">
        <v>13</v>
      </c>
      <c r="E65" s="409">
        <v>5.42</v>
      </c>
      <c r="F65" s="47">
        <f t="shared" si="5"/>
        <v>70.459999999999994</v>
      </c>
      <c r="G65" s="21">
        <f t="shared" si="2"/>
        <v>505.41737734327074</v>
      </c>
      <c r="H65" s="150">
        <v>1163</v>
      </c>
      <c r="I65" s="409">
        <v>4.29</v>
      </c>
      <c r="J65" s="47">
        <f t="shared" si="4"/>
        <v>4989.2700000000004</v>
      </c>
      <c r="K65" s="21">
        <f t="shared" si="3"/>
        <v>400.04438169790251</v>
      </c>
    </row>
    <row r="66" spans="1:11" s="22" customFormat="1" x14ac:dyDescent="0.35">
      <c r="A66" s="19">
        <v>54</v>
      </c>
      <c r="B66" s="19">
        <v>99221</v>
      </c>
      <c r="C66" s="20" t="s">
        <v>121</v>
      </c>
      <c r="D66" s="116">
        <v>0</v>
      </c>
      <c r="E66" s="409">
        <v>2.46</v>
      </c>
      <c r="F66" s="47">
        <f t="shared" si="5"/>
        <v>0</v>
      </c>
      <c r="G66" s="21">
        <f t="shared" si="2"/>
        <v>229.39607901558045</v>
      </c>
      <c r="H66" s="150">
        <v>0</v>
      </c>
      <c r="I66" s="409">
        <v>2.46</v>
      </c>
      <c r="J66" s="47">
        <f t="shared" si="4"/>
        <v>0</v>
      </c>
      <c r="K66" s="21">
        <f t="shared" si="3"/>
        <v>229.39607901558045</v>
      </c>
    </row>
    <row r="67" spans="1:11" s="22" customFormat="1" x14ac:dyDescent="0.35">
      <c r="A67" s="19">
        <v>55</v>
      </c>
      <c r="B67" s="19">
        <v>99222</v>
      </c>
      <c r="C67" s="20" t="s">
        <v>122</v>
      </c>
      <c r="D67" s="116">
        <v>0</v>
      </c>
      <c r="E67" s="409">
        <v>3.88</v>
      </c>
      <c r="F67" s="47">
        <f t="shared" si="5"/>
        <v>0</v>
      </c>
      <c r="G67" s="21">
        <f t="shared" si="2"/>
        <v>361.81170186197244</v>
      </c>
      <c r="H67" s="150">
        <v>0</v>
      </c>
      <c r="I67" s="409">
        <v>3.88</v>
      </c>
      <c r="J67" s="47">
        <f t="shared" si="4"/>
        <v>0</v>
      </c>
      <c r="K67" s="21">
        <f t="shared" si="3"/>
        <v>361.81170186197244</v>
      </c>
    </row>
    <row r="68" spans="1:11" s="22" customFormat="1" x14ac:dyDescent="0.35">
      <c r="A68" s="19">
        <v>56</v>
      </c>
      <c r="B68" s="19">
        <v>99223</v>
      </c>
      <c r="C68" s="20" t="s">
        <v>123</v>
      </c>
      <c r="D68" s="116">
        <v>0</v>
      </c>
      <c r="E68" s="409">
        <v>5.14</v>
      </c>
      <c r="F68" s="47">
        <f t="shared" si="5"/>
        <v>0</v>
      </c>
      <c r="G68" s="21">
        <f t="shared" si="2"/>
        <v>479.30725452848924</v>
      </c>
      <c r="H68" s="150">
        <v>0</v>
      </c>
      <c r="I68" s="409">
        <v>5.14</v>
      </c>
      <c r="J68" s="47">
        <f t="shared" si="4"/>
        <v>0</v>
      </c>
      <c r="K68" s="21">
        <f t="shared" si="3"/>
        <v>479.30725452848924</v>
      </c>
    </row>
    <row r="69" spans="1:11" s="22" customFormat="1" x14ac:dyDescent="0.35">
      <c r="A69" s="19">
        <v>57</v>
      </c>
      <c r="B69" s="19">
        <v>99231</v>
      </c>
      <c r="C69" s="20" t="s">
        <v>124</v>
      </c>
      <c r="D69" s="116">
        <v>0</v>
      </c>
      <c r="E69" s="409">
        <v>1.47</v>
      </c>
      <c r="F69" s="47">
        <f t="shared" si="5"/>
        <v>0</v>
      </c>
      <c r="G69" s="21">
        <f t="shared" si="2"/>
        <v>137.07814477760294</v>
      </c>
      <c r="H69" s="150">
        <v>0</v>
      </c>
      <c r="I69" s="409">
        <v>1.47</v>
      </c>
      <c r="J69" s="47">
        <f t="shared" si="4"/>
        <v>0</v>
      </c>
      <c r="K69" s="21">
        <f t="shared" si="3"/>
        <v>137.07814477760294</v>
      </c>
    </row>
    <row r="70" spans="1:11" s="22" customFormat="1" x14ac:dyDescent="0.35">
      <c r="A70" s="19">
        <v>58</v>
      </c>
      <c r="B70" s="19">
        <v>99232</v>
      </c>
      <c r="C70" s="20" t="s">
        <v>125</v>
      </c>
      <c r="D70" s="116">
        <v>0</v>
      </c>
      <c r="E70" s="409">
        <v>2.34</v>
      </c>
      <c r="F70" s="47">
        <f t="shared" si="5"/>
        <v>0</v>
      </c>
      <c r="G70" s="21">
        <f t="shared" si="2"/>
        <v>218.20602638067407</v>
      </c>
      <c r="H70" s="150">
        <v>0</v>
      </c>
      <c r="I70" s="409">
        <v>2.34</v>
      </c>
      <c r="J70" s="47">
        <f t="shared" si="4"/>
        <v>0</v>
      </c>
      <c r="K70" s="21">
        <f t="shared" si="3"/>
        <v>218.20602638067407</v>
      </c>
    </row>
    <row r="71" spans="1:11" s="22" customFormat="1" x14ac:dyDescent="0.35">
      <c r="A71" s="19">
        <v>59</v>
      </c>
      <c r="B71" s="19">
        <v>99233</v>
      </c>
      <c r="C71" s="20" t="s">
        <v>126</v>
      </c>
      <c r="D71" s="116">
        <v>0</v>
      </c>
      <c r="E71" s="409">
        <v>3.52</v>
      </c>
      <c r="F71" s="47">
        <f t="shared" si="5"/>
        <v>0</v>
      </c>
      <c r="G71" s="21">
        <f t="shared" si="2"/>
        <v>328.24154395725333</v>
      </c>
      <c r="H71" s="150">
        <v>0</v>
      </c>
      <c r="I71" s="409">
        <v>3.52</v>
      </c>
      <c r="J71" s="47">
        <f t="shared" si="4"/>
        <v>0</v>
      </c>
      <c r="K71" s="21">
        <f t="shared" si="3"/>
        <v>328.24154395725333</v>
      </c>
    </row>
    <row r="72" spans="1:11" s="22" customFormat="1" ht="29" x14ac:dyDescent="0.35">
      <c r="A72" s="19">
        <v>60</v>
      </c>
      <c r="B72" s="19">
        <v>99234</v>
      </c>
      <c r="C72" s="20" t="s">
        <v>360</v>
      </c>
      <c r="D72" s="116">
        <v>0</v>
      </c>
      <c r="E72" s="409">
        <v>2.9</v>
      </c>
      <c r="F72" s="47">
        <f t="shared" si="5"/>
        <v>0</v>
      </c>
      <c r="G72" s="21">
        <f t="shared" si="2"/>
        <v>270.42627201023714</v>
      </c>
      <c r="H72" s="150">
        <v>0</v>
      </c>
      <c r="I72" s="409">
        <v>2.9</v>
      </c>
      <c r="J72" s="47">
        <f t="shared" si="4"/>
        <v>0</v>
      </c>
      <c r="K72" s="21">
        <f t="shared" si="3"/>
        <v>270.42627201023714</v>
      </c>
    </row>
    <row r="73" spans="1:11" s="22" customFormat="1" ht="29" x14ac:dyDescent="0.35">
      <c r="A73" s="19">
        <v>61</v>
      </c>
      <c r="B73" s="19">
        <v>99235</v>
      </c>
      <c r="C73" s="20" t="s">
        <v>361</v>
      </c>
      <c r="D73" s="116">
        <v>0</v>
      </c>
      <c r="E73" s="409">
        <v>4.7300000000000004</v>
      </c>
      <c r="F73" s="47">
        <f t="shared" si="5"/>
        <v>0</v>
      </c>
      <c r="G73" s="21">
        <f t="shared" si="2"/>
        <v>441.07457469255922</v>
      </c>
      <c r="H73" s="150">
        <v>0</v>
      </c>
      <c r="I73" s="409">
        <v>4.7300000000000004</v>
      </c>
      <c r="J73" s="47">
        <f t="shared" si="4"/>
        <v>0</v>
      </c>
      <c r="K73" s="21">
        <f t="shared" si="3"/>
        <v>441.07457469255922</v>
      </c>
    </row>
    <row r="74" spans="1:11" s="22" customFormat="1" ht="29" x14ac:dyDescent="0.35">
      <c r="A74" s="19">
        <v>62</v>
      </c>
      <c r="B74" s="19">
        <v>99236</v>
      </c>
      <c r="C74" s="20" t="s">
        <v>362</v>
      </c>
      <c r="D74" s="116">
        <v>0</v>
      </c>
      <c r="E74" s="409">
        <v>6.18</v>
      </c>
      <c r="F74" s="47">
        <f t="shared" si="5"/>
        <v>0</v>
      </c>
      <c r="G74" s="21">
        <f t="shared" ref="G74:G123" si="6">E74*$F$12</f>
        <v>576.28771069767765</v>
      </c>
      <c r="H74" s="150">
        <v>0</v>
      </c>
      <c r="I74" s="409">
        <v>6.18</v>
      </c>
      <c r="J74" s="47">
        <f t="shared" si="4"/>
        <v>0</v>
      </c>
      <c r="K74" s="21">
        <f t="shared" ref="K74:K123" si="7">I74*$F$12</f>
        <v>576.28771069767765</v>
      </c>
    </row>
    <row r="75" spans="1:11" s="22" customFormat="1" x14ac:dyDescent="0.35">
      <c r="A75" s="19">
        <v>63</v>
      </c>
      <c r="B75" s="19">
        <v>99238</v>
      </c>
      <c r="C75" s="20" t="s">
        <v>346</v>
      </c>
      <c r="D75" s="116">
        <v>0</v>
      </c>
      <c r="E75" s="409">
        <v>2.41</v>
      </c>
      <c r="F75" s="47">
        <f t="shared" ref="F75:F123" si="8">D75*E75</f>
        <v>0</v>
      </c>
      <c r="G75" s="21">
        <f t="shared" si="6"/>
        <v>224.73355708436949</v>
      </c>
      <c r="H75" s="150">
        <v>0</v>
      </c>
      <c r="I75" s="409">
        <v>2.41</v>
      </c>
      <c r="J75" s="47">
        <f t="shared" ref="J75:J123" si="9">H75*I75</f>
        <v>0</v>
      </c>
      <c r="K75" s="21">
        <f t="shared" si="7"/>
        <v>224.73355708436949</v>
      </c>
    </row>
    <row r="76" spans="1:11" s="22" customFormat="1" x14ac:dyDescent="0.35">
      <c r="A76" s="19">
        <v>64</v>
      </c>
      <c r="B76" s="19">
        <v>99239</v>
      </c>
      <c r="C76" s="20" t="s">
        <v>127</v>
      </c>
      <c r="D76" s="116">
        <v>0</v>
      </c>
      <c r="E76" s="409">
        <v>3.4</v>
      </c>
      <c r="F76" s="47">
        <f t="shared" si="8"/>
        <v>0</v>
      </c>
      <c r="G76" s="21">
        <f t="shared" si="6"/>
        <v>317.05149132234698</v>
      </c>
      <c r="H76" s="150">
        <v>0</v>
      </c>
      <c r="I76" s="409">
        <v>3.4</v>
      </c>
      <c r="J76" s="47">
        <f t="shared" si="9"/>
        <v>0</v>
      </c>
      <c r="K76" s="21">
        <f t="shared" si="7"/>
        <v>317.05149132234698</v>
      </c>
    </row>
    <row r="77" spans="1:11" s="22" customFormat="1" x14ac:dyDescent="0.35">
      <c r="A77" s="19">
        <v>65</v>
      </c>
      <c r="B77" s="19">
        <v>99242</v>
      </c>
      <c r="C77" s="20" t="s">
        <v>347</v>
      </c>
      <c r="D77" s="116">
        <v>0</v>
      </c>
      <c r="E77" s="409">
        <v>2.25</v>
      </c>
      <c r="F77" s="148">
        <f t="shared" si="8"/>
        <v>0</v>
      </c>
      <c r="G77" s="149">
        <f t="shared" si="6"/>
        <v>209.81348690449431</v>
      </c>
      <c r="H77" s="150">
        <v>1</v>
      </c>
      <c r="I77" s="409">
        <v>1.66</v>
      </c>
      <c r="J77" s="47">
        <f t="shared" si="9"/>
        <v>1.66</v>
      </c>
      <c r="K77" s="21">
        <f t="shared" si="7"/>
        <v>154.79572811620469</v>
      </c>
    </row>
    <row r="78" spans="1:11" s="22" customFormat="1" x14ac:dyDescent="0.35">
      <c r="A78" s="19">
        <v>66</v>
      </c>
      <c r="B78" s="19">
        <v>99243</v>
      </c>
      <c r="C78" s="20" t="s">
        <v>348</v>
      </c>
      <c r="D78" s="116">
        <v>0</v>
      </c>
      <c r="E78" s="409">
        <v>3.37</v>
      </c>
      <c r="F78" s="47">
        <f t="shared" si="8"/>
        <v>0</v>
      </c>
      <c r="G78" s="21">
        <f t="shared" si="6"/>
        <v>314.25397816362039</v>
      </c>
      <c r="H78" s="150">
        <v>0</v>
      </c>
      <c r="I78" s="409">
        <v>2.62</v>
      </c>
      <c r="J78" s="47">
        <f t="shared" si="9"/>
        <v>0</v>
      </c>
      <c r="K78" s="21">
        <f t="shared" si="7"/>
        <v>244.31614919545561</v>
      </c>
    </row>
    <row r="79" spans="1:11" s="22" customFormat="1" x14ac:dyDescent="0.35">
      <c r="A79" s="19">
        <v>67</v>
      </c>
      <c r="B79" s="19">
        <v>99244</v>
      </c>
      <c r="C79" s="20" t="s">
        <v>349</v>
      </c>
      <c r="D79" s="116">
        <v>0</v>
      </c>
      <c r="E79" s="409">
        <v>4.8099999999999996</v>
      </c>
      <c r="F79" s="47">
        <f t="shared" si="8"/>
        <v>0</v>
      </c>
      <c r="G79" s="21">
        <f t="shared" si="6"/>
        <v>448.53460978249672</v>
      </c>
      <c r="H79" s="150">
        <v>2</v>
      </c>
      <c r="I79" s="409">
        <v>3.99</v>
      </c>
      <c r="J79" s="47">
        <f t="shared" si="9"/>
        <v>7.98</v>
      </c>
      <c r="K79" s="21">
        <f t="shared" si="7"/>
        <v>372.06925011063663</v>
      </c>
    </row>
    <row r="80" spans="1:11" s="22" customFormat="1" x14ac:dyDescent="0.35">
      <c r="A80" s="19">
        <v>68</v>
      </c>
      <c r="B80" s="19">
        <v>99245</v>
      </c>
      <c r="C80" s="20" t="s">
        <v>350</v>
      </c>
      <c r="D80" s="116">
        <v>0</v>
      </c>
      <c r="E80" s="409">
        <v>6.28</v>
      </c>
      <c r="F80" s="47">
        <f t="shared" si="8"/>
        <v>0</v>
      </c>
      <c r="G80" s="21">
        <f t="shared" si="6"/>
        <v>585.61275456009969</v>
      </c>
      <c r="H80" s="150">
        <v>1</v>
      </c>
      <c r="I80" s="409">
        <v>5.36</v>
      </c>
      <c r="J80" s="47">
        <f t="shared" si="9"/>
        <v>5.36</v>
      </c>
      <c r="K80" s="21">
        <f t="shared" si="7"/>
        <v>499.82235102581762</v>
      </c>
    </row>
    <row r="81" spans="1:11" s="22" customFormat="1" x14ac:dyDescent="0.35">
      <c r="A81" s="19">
        <v>69</v>
      </c>
      <c r="B81" s="19">
        <v>99252</v>
      </c>
      <c r="C81" s="20" t="s">
        <v>351</v>
      </c>
      <c r="D81" s="116">
        <v>0</v>
      </c>
      <c r="E81" s="409">
        <v>2.11</v>
      </c>
      <c r="F81" s="47">
        <f t="shared" si="8"/>
        <v>0</v>
      </c>
      <c r="G81" s="21">
        <f t="shared" si="6"/>
        <v>196.75842549710356</v>
      </c>
      <c r="H81" s="150">
        <v>0</v>
      </c>
      <c r="I81" s="409">
        <v>2.11</v>
      </c>
      <c r="J81" s="47">
        <f t="shared" si="9"/>
        <v>0</v>
      </c>
      <c r="K81" s="21">
        <f t="shared" si="7"/>
        <v>196.75842549710356</v>
      </c>
    </row>
    <row r="82" spans="1:11" s="22" customFormat="1" x14ac:dyDescent="0.35">
      <c r="A82" s="19">
        <v>70</v>
      </c>
      <c r="B82" s="19">
        <v>99253</v>
      </c>
      <c r="C82" s="20" t="s">
        <v>352</v>
      </c>
      <c r="D82" s="116">
        <v>0</v>
      </c>
      <c r="E82" s="409">
        <v>2.96</v>
      </c>
      <c r="F82" s="47">
        <f t="shared" si="8"/>
        <v>0</v>
      </c>
      <c r="G82" s="21">
        <f t="shared" si="6"/>
        <v>276.02129832769032</v>
      </c>
      <c r="H82" s="150">
        <v>0</v>
      </c>
      <c r="I82" s="409">
        <v>2.96</v>
      </c>
      <c r="J82" s="47">
        <f t="shared" si="9"/>
        <v>0</v>
      </c>
      <c r="K82" s="21">
        <f t="shared" si="7"/>
        <v>276.02129832769032</v>
      </c>
    </row>
    <row r="83" spans="1:11" s="22" customFormat="1" x14ac:dyDescent="0.35">
      <c r="A83" s="19">
        <v>71</v>
      </c>
      <c r="B83" s="19">
        <v>99254</v>
      </c>
      <c r="C83" s="20" t="s">
        <v>353</v>
      </c>
      <c r="D83" s="116">
        <v>0</v>
      </c>
      <c r="E83" s="409">
        <v>4.1100000000000003</v>
      </c>
      <c r="F83" s="47">
        <f t="shared" si="8"/>
        <v>0</v>
      </c>
      <c r="G83" s="21">
        <f t="shared" si="6"/>
        <v>383.25930274554298</v>
      </c>
      <c r="H83" s="150">
        <v>0</v>
      </c>
      <c r="I83" s="409">
        <v>4.1100000000000003</v>
      </c>
      <c r="J83" s="47">
        <f t="shared" si="9"/>
        <v>0</v>
      </c>
      <c r="K83" s="21">
        <f t="shared" si="7"/>
        <v>383.25930274554298</v>
      </c>
    </row>
    <row r="84" spans="1:11" s="22" customFormat="1" x14ac:dyDescent="0.35">
      <c r="A84" s="19">
        <v>72</v>
      </c>
      <c r="B84" s="19">
        <v>99255</v>
      </c>
      <c r="C84" s="20" t="s">
        <v>354</v>
      </c>
      <c r="D84" s="116">
        <v>0</v>
      </c>
      <c r="E84" s="409">
        <v>5.53</v>
      </c>
      <c r="F84" s="47">
        <f t="shared" si="8"/>
        <v>0</v>
      </c>
      <c r="G84" s="21">
        <f t="shared" si="6"/>
        <v>515.67492559193499</v>
      </c>
      <c r="H84" s="150">
        <v>0</v>
      </c>
      <c r="I84" s="409">
        <v>5.53</v>
      </c>
      <c r="J84" s="47">
        <f t="shared" si="9"/>
        <v>0</v>
      </c>
      <c r="K84" s="21">
        <f t="shared" si="7"/>
        <v>515.67492559193499</v>
      </c>
    </row>
    <row r="85" spans="1:11" s="22" customFormat="1" x14ac:dyDescent="0.35">
      <c r="A85" s="19">
        <v>73</v>
      </c>
      <c r="B85" s="19">
        <v>99281</v>
      </c>
      <c r="C85" s="20" t="s">
        <v>355</v>
      </c>
      <c r="D85" s="116">
        <v>0</v>
      </c>
      <c r="E85" s="409">
        <v>0.34</v>
      </c>
      <c r="F85" s="47">
        <f t="shared" si="8"/>
        <v>0</v>
      </c>
      <c r="G85" s="21">
        <f t="shared" si="6"/>
        <v>31.705149132234698</v>
      </c>
      <c r="H85" s="150">
        <v>0</v>
      </c>
      <c r="I85" s="409">
        <v>0.34</v>
      </c>
      <c r="J85" s="47">
        <f t="shared" si="9"/>
        <v>0</v>
      </c>
      <c r="K85" s="21">
        <f t="shared" si="7"/>
        <v>31.705149132234698</v>
      </c>
    </row>
    <row r="86" spans="1:11" s="22" customFormat="1" x14ac:dyDescent="0.35">
      <c r="A86" s="19">
        <v>74</v>
      </c>
      <c r="B86" s="19">
        <v>99282</v>
      </c>
      <c r="C86" s="20" t="s">
        <v>356</v>
      </c>
      <c r="D86" s="116">
        <v>0</v>
      </c>
      <c r="E86" s="409">
        <v>1.24</v>
      </c>
      <c r="F86" s="47">
        <f t="shared" si="8"/>
        <v>0</v>
      </c>
      <c r="G86" s="21">
        <f t="shared" si="6"/>
        <v>115.63054389403243</v>
      </c>
      <c r="H86" s="150">
        <v>0</v>
      </c>
      <c r="I86" s="409">
        <v>1.24</v>
      </c>
      <c r="J86" s="47">
        <f t="shared" si="9"/>
        <v>0</v>
      </c>
      <c r="K86" s="21">
        <f t="shared" si="7"/>
        <v>115.63054389403243</v>
      </c>
    </row>
    <row r="87" spans="1:11" s="22" customFormat="1" x14ac:dyDescent="0.35">
      <c r="A87" s="19">
        <v>75</v>
      </c>
      <c r="B87" s="19">
        <v>99283</v>
      </c>
      <c r="C87" s="20" t="s">
        <v>357</v>
      </c>
      <c r="D87" s="116">
        <v>0</v>
      </c>
      <c r="E87" s="409">
        <v>2.11</v>
      </c>
      <c r="F87" s="47">
        <f t="shared" si="8"/>
        <v>0</v>
      </c>
      <c r="G87" s="21">
        <f t="shared" si="6"/>
        <v>196.75842549710356</v>
      </c>
      <c r="H87" s="150">
        <v>0</v>
      </c>
      <c r="I87" s="409">
        <v>2.11</v>
      </c>
      <c r="J87" s="47">
        <f t="shared" si="9"/>
        <v>0</v>
      </c>
      <c r="K87" s="21">
        <f t="shared" si="7"/>
        <v>196.75842549710356</v>
      </c>
    </row>
    <row r="88" spans="1:11" s="22" customFormat="1" x14ac:dyDescent="0.35">
      <c r="A88" s="19">
        <v>76</v>
      </c>
      <c r="B88" s="19">
        <v>99284</v>
      </c>
      <c r="C88" s="20" t="s">
        <v>358</v>
      </c>
      <c r="D88" s="116">
        <v>0</v>
      </c>
      <c r="E88" s="409">
        <v>3.59</v>
      </c>
      <c r="F88" s="47">
        <f t="shared" si="8"/>
        <v>0</v>
      </c>
      <c r="G88" s="21">
        <f t="shared" si="6"/>
        <v>334.76907466094872</v>
      </c>
      <c r="H88" s="150">
        <v>0</v>
      </c>
      <c r="I88" s="409">
        <v>3.59</v>
      </c>
      <c r="J88" s="47">
        <f t="shared" si="9"/>
        <v>0</v>
      </c>
      <c r="K88" s="21">
        <f t="shared" si="7"/>
        <v>334.76907466094872</v>
      </c>
    </row>
    <row r="89" spans="1:11" s="22" customFormat="1" x14ac:dyDescent="0.35">
      <c r="A89" s="19">
        <v>77</v>
      </c>
      <c r="B89" s="19">
        <v>99285</v>
      </c>
      <c r="C89" s="20" t="s">
        <v>359</v>
      </c>
      <c r="D89" s="116">
        <v>0</v>
      </c>
      <c r="E89" s="409">
        <v>5.2</v>
      </c>
      <c r="F89" s="47">
        <f t="shared" si="8"/>
        <v>0</v>
      </c>
      <c r="G89" s="21">
        <f t="shared" si="6"/>
        <v>484.90228084594241</v>
      </c>
      <c r="H89" s="150">
        <v>0</v>
      </c>
      <c r="I89" s="409">
        <v>5.2</v>
      </c>
      <c r="J89" s="47">
        <f t="shared" si="9"/>
        <v>0</v>
      </c>
      <c r="K89" s="21">
        <f t="shared" si="7"/>
        <v>484.90228084594241</v>
      </c>
    </row>
    <row r="90" spans="1:11" s="22" customFormat="1" x14ac:dyDescent="0.35">
      <c r="A90" s="19">
        <v>78</v>
      </c>
      <c r="B90" s="19">
        <v>99304</v>
      </c>
      <c r="C90" s="20" t="s">
        <v>363</v>
      </c>
      <c r="D90" s="116">
        <v>0</v>
      </c>
      <c r="E90" s="409">
        <v>2.39</v>
      </c>
      <c r="F90" s="47">
        <f t="shared" si="8"/>
        <v>0</v>
      </c>
      <c r="G90" s="21">
        <f t="shared" si="6"/>
        <v>222.86854831188509</v>
      </c>
      <c r="H90" s="150">
        <v>0</v>
      </c>
      <c r="I90" s="409">
        <v>2.39</v>
      </c>
      <c r="J90" s="47">
        <f t="shared" si="9"/>
        <v>0</v>
      </c>
      <c r="K90" s="21">
        <f t="shared" si="7"/>
        <v>222.86854831188509</v>
      </c>
    </row>
    <row r="91" spans="1:11" s="22" customFormat="1" x14ac:dyDescent="0.35">
      <c r="A91" s="19">
        <v>79</v>
      </c>
      <c r="B91" s="19">
        <v>99305</v>
      </c>
      <c r="C91" s="20" t="s">
        <v>364</v>
      </c>
      <c r="D91" s="116">
        <v>0</v>
      </c>
      <c r="E91" s="409">
        <v>3.97</v>
      </c>
      <c r="F91" s="47">
        <f t="shared" si="8"/>
        <v>0</v>
      </c>
      <c r="G91" s="21">
        <f t="shared" si="6"/>
        <v>370.2042413381522</v>
      </c>
      <c r="H91" s="150">
        <v>0</v>
      </c>
      <c r="I91" s="409">
        <v>3.97</v>
      </c>
      <c r="J91" s="47">
        <f t="shared" si="9"/>
        <v>0</v>
      </c>
      <c r="K91" s="21">
        <f t="shared" si="7"/>
        <v>370.2042413381522</v>
      </c>
    </row>
    <row r="92" spans="1:11" s="22" customFormat="1" x14ac:dyDescent="0.35">
      <c r="A92" s="19">
        <v>80</v>
      </c>
      <c r="B92" s="19">
        <v>99306</v>
      </c>
      <c r="C92" s="20" t="s">
        <v>365</v>
      </c>
      <c r="D92" s="116">
        <v>0</v>
      </c>
      <c r="E92" s="409">
        <v>5.42</v>
      </c>
      <c r="F92" s="47">
        <f t="shared" si="8"/>
        <v>0</v>
      </c>
      <c r="G92" s="21">
        <f t="shared" si="6"/>
        <v>505.41737734327074</v>
      </c>
      <c r="H92" s="150">
        <v>0</v>
      </c>
      <c r="I92" s="409">
        <v>5.42</v>
      </c>
      <c r="J92" s="47">
        <f t="shared" si="9"/>
        <v>0</v>
      </c>
      <c r="K92" s="21">
        <f t="shared" si="7"/>
        <v>505.41737734327074</v>
      </c>
    </row>
    <row r="93" spans="1:11" s="22" customFormat="1" x14ac:dyDescent="0.35">
      <c r="A93" s="19">
        <v>81</v>
      </c>
      <c r="B93" s="19">
        <v>99307</v>
      </c>
      <c r="C93" s="20" t="s">
        <v>366</v>
      </c>
      <c r="D93" s="116">
        <v>0</v>
      </c>
      <c r="E93" s="409">
        <v>1.2</v>
      </c>
      <c r="F93" s="47">
        <f t="shared" si="8"/>
        <v>0</v>
      </c>
      <c r="G93" s="21">
        <f t="shared" si="6"/>
        <v>111.90052634906364</v>
      </c>
      <c r="H93" s="150">
        <v>0</v>
      </c>
      <c r="I93" s="409">
        <v>1.2</v>
      </c>
      <c r="J93" s="47">
        <f t="shared" si="9"/>
        <v>0</v>
      </c>
      <c r="K93" s="21">
        <f t="shared" si="7"/>
        <v>111.90052634906364</v>
      </c>
    </row>
    <row r="94" spans="1:11" s="22" customFormat="1" x14ac:dyDescent="0.35">
      <c r="A94" s="19">
        <v>82</v>
      </c>
      <c r="B94" s="19">
        <v>99308</v>
      </c>
      <c r="C94" s="20" t="s">
        <v>367</v>
      </c>
      <c r="D94" s="116">
        <v>0</v>
      </c>
      <c r="E94" s="409">
        <v>2.2200000000000002</v>
      </c>
      <c r="F94" s="47">
        <f t="shared" si="8"/>
        <v>0</v>
      </c>
      <c r="G94" s="21">
        <f t="shared" si="6"/>
        <v>207.01597374576775</v>
      </c>
      <c r="H94" s="150">
        <v>0</v>
      </c>
      <c r="I94" s="409">
        <v>2.2200000000000002</v>
      </c>
      <c r="J94" s="47">
        <f t="shared" si="9"/>
        <v>0</v>
      </c>
      <c r="K94" s="21">
        <f t="shared" si="7"/>
        <v>207.01597374576775</v>
      </c>
    </row>
    <row r="95" spans="1:11" s="22" customFormat="1" x14ac:dyDescent="0.35">
      <c r="A95" s="19">
        <v>83</v>
      </c>
      <c r="B95" s="19">
        <v>99309</v>
      </c>
      <c r="C95" s="20" t="s">
        <v>368</v>
      </c>
      <c r="D95" s="116">
        <v>0</v>
      </c>
      <c r="E95" s="409">
        <v>3.21</v>
      </c>
      <c r="F95" s="47">
        <f t="shared" si="8"/>
        <v>0</v>
      </c>
      <c r="G95" s="21">
        <f t="shared" si="6"/>
        <v>299.33390798374523</v>
      </c>
      <c r="H95" s="150">
        <v>0</v>
      </c>
      <c r="I95" s="409">
        <v>3.21</v>
      </c>
      <c r="J95" s="47">
        <f t="shared" si="9"/>
        <v>0</v>
      </c>
      <c r="K95" s="21">
        <f t="shared" si="7"/>
        <v>299.33390798374523</v>
      </c>
    </row>
    <row r="96" spans="1:11" s="22" customFormat="1" x14ac:dyDescent="0.35">
      <c r="A96" s="19">
        <v>84</v>
      </c>
      <c r="B96" s="19">
        <v>99310</v>
      </c>
      <c r="C96" s="20" t="s">
        <v>369</v>
      </c>
      <c r="D96" s="116">
        <v>0</v>
      </c>
      <c r="E96" s="409">
        <v>4.58</v>
      </c>
      <c r="F96" s="47">
        <f t="shared" si="8"/>
        <v>0</v>
      </c>
      <c r="G96" s="21">
        <f t="shared" si="6"/>
        <v>427.08700889892623</v>
      </c>
      <c r="H96" s="150">
        <v>0</v>
      </c>
      <c r="I96" s="409">
        <v>4.58</v>
      </c>
      <c r="J96" s="47">
        <f t="shared" si="9"/>
        <v>0</v>
      </c>
      <c r="K96" s="21">
        <f t="shared" si="7"/>
        <v>427.08700889892623</v>
      </c>
    </row>
    <row r="97" spans="1:11" s="22" customFormat="1" x14ac:dyDescent="0.35">
      <c r="A97" s="19">
        <v>85</v>
      </c>
      <c r="B97" s="19">
        <v>99315</v>
      </c>
      <c r="C97" s="20" t="s">
        <v>370</v>
      </c>
      <c r="D97" s="116">
        <v>0</v>
      </c>
      <c r="E97" s="409">
        <v>2.4300000000000002</v>
      </c>
      <c r="F97" s="47">
        <f t="shared" si="8"/>
        <v>0</v>
      </c>
      <c r="G97" s="21">
        <f t="shared" si="6"/>
        <v>226.59856585685387</v>
      </c>
      <c r="H97" s="150">
        <v>0</v>
      </c>
      <c r="I97" s="409">
        <v>2.4300000000000002</v>
      </c>
      <c r="J97" s="47">
        <f t="shared" si="9"/>
        <v>0</v>
      </c>
      <c r="K97" s="21">
        <f t="shared" si="7"/>
        <v>226.59856585685387</v>
      </c>
    </row>
    <row r="98" spans="1:11" s="22" customFormat="1" x14ac:dyDescent="0.35">
      <c r="A98" s="19">
        <v>86</v>
      </c>
      <c r="B98" s="19">
        <v>99316</v>
      </c>
      <c r="C98" s="20" t="s">
        <v>128</v>
      </c>
      <c r="D98" s="116">
        <v>0</v>
      </c>
      <c r="E98" s="409">
        <v>3.9</v>
      </c>
      <c r="F98" s="47">
        <f t="shared" si="8"/>
        <v>0</v>
      </c>
      <c r="G98" s="21">
        <f t="shared" si="6"/>
        <v>363.67671063445681</v>
      </c>
      <c r="H98" s="150">
        <v>0</v>
      </c>
      <c r="I98" s="409">
        <v>3.9</v>
      </c>
      <c r="J98" s="47">
        <f t="shared" si="9"/>
        <v>0</v>
      </c>
      <c r="K98" s="21">
        <f t="shared" si="7"/>
        <v>363.67671063445681</v>
      </c>
    </row>
    <row r="99" spans="1:11" s="22" customFormat="1" x14ac:dyDescent="0.35">
      <c r="A99" s="19">
        <v>87</v>
      </c>
      <c r="B99" s="19">
        <v>99341</v>
      </c>
      <c r="C99" s="20" t="s">
        <v>371</v>
      </c>
      <c r="D99" s="116">
        <v>0</v>
      </c>
      <c r="E99" s="409">
        <v>1.47</v>
      </c>
      <c r="F99" s="47">
        <f t="shared" si="8"/>
        <v>0</v>
      </c>
      <c r="G99" s="21">
        <f t="shared" si="6"/>
        <v>137.07814477760294</v>
      </c>
      <c r="H99" s="150">
        <v>0</v>
      </c>
      <c r="I99" s="409">
        <v>1.47</v>
      </c>
      <c r="J99" s="47">
        <f t="shared" si="9"/>
        <v>0</v>
      </c>
      <c r="K99" s="21">
        <f t="shared" si="7"/>
        <v>137.07814477760294</v>
      </c>
    </row>
    <row r="100" spans="1:11" s="22" customFormat="1" x14ac:dyDescent="0.35">
      <c r="A100" s="19">
        <v>88</v>
      </c>
      <c r="B100" s="19">
        <v>99342</v>
      </c>
      <c r="C100" s="20" t="s">
        <v>372</v>
      </c>
      <c r="D100" s="116">
        <v>0</v>
      </c>
      <c r="E100" s="409">
        <v>2.33</v>
      </c>
      <c r="F100" s="47">
        <f t="shared" si="8"/>
        <v>0</v>
      </c>
      <c r="G100" s="21">
        <f t="shared" si="6"/>
        <v>217.27352199443189</v>
      </c>
      <c r="H100" s="150">
        <v>0</v>
      </c>
      <c r="I100" s="409">
        <v>2.33</v>
      </c>
      <c r="J100" s="47">
        <f t="shared" si="9"/>
        <v>0</v>
      </c>
      <c r="K100" s="21">
        <f t="shared" si="7"/>
        <v>217.27352199443189</v>
      </c>
    </row>
    <row r="101" spans="1:11" s="22" customFormat="1" x14ac:dyDescent="0.35">
      <c r="A101" s="19">
        <v>89</v>
      </c>
      <c r="B101" s="19">
        <v>99344</v>
      </c>
      <c r="C101" s="20" t="s">
        <v>373</v>
      </c>
      <c r="D101" s="116">
        <v>0</v>
      </c>
      <c r="E101" s="409">
        <v>4.2300000000000004</v>
      </c>
      <c r="F101" s="47">
        <f t="shared" si="8"/>
        <v>0</v>
      </c>
      <c r="G101" s="21">
        <f t="shared" si="6"/>
        <v>394.44935538044933</v>
      </c>
      <c r="H101" s="150">
        <v>0</v>
      </c>
      <c r="I101" s="409">
        <v>4.2300000000000004</v>
      </c>
      <c r="J101" s="47">
        <f t="shared" si="9"/>
        <v>0</v>
      </c>
      <c r="K101" s="21">
        <f t="shared" si="7"/>
        <v>394.44935538044933</v>
      </c>
    </row>
    <row r="102" spans="1:11" s="22" customFormat="1" x14ac:dyDescent="0.35">
      <c r="A102" s="19">
        <v>90</v>
      </c>
      <c r="B102" s="19">
        <v>99345</v>
      </c>
      <c r="C102" s="20" t="s">
        <v>374</v>
      </c>
      <c r="D102" s="116">
        <v>0</v>
      </c>
      <c r="E102" s="409">
        <v>6.01</v>
      </c>
      <c r="F102" s="47">
        <f t="shared" si="8"/>
        <v>0</v>
      </c>
      <c r="G102" s="21">
        <f t="shared" si="6"/>
        <v>560.4351361315604</v>
      </c>
      <c r="H102" s="150">
        <v>0</v>
      </c>
      <c r="I102" s="409">
        <v>6.01</v>
      </c>
      <c r="J102" s="47">
        <f t="shared" si="9"/>
        <v>0</v>
      </c>
      <c r="K102" s="21">
        <f t="shared" si="7"/>
        <v>560.4351361315604</v>
      </c>
    </row>
    <row r="103" spans="1:11" s="22" customFormat="1" x14ac:dyDescent="0.35">
      <c r="A103" s="19">
        <v>91</v>
      </c>
      <c r="B103" s="19">
        <v>99347</v>
      </c>
      <c r="C103" s="20" t="s">
        <v>375</v>
      </c>
      <c r="D103" s="116">
        <v>0</v>
      </c>
      <c r="E103" s="409">
        <v>1.35</v>
      </c>
      <c r="F103" s="47">
        <f t="shared" si="8"/>
        <v>0</v>
      </c>
      <c r="G103" s="21">
        <f t="shared" si="6"/>
        <v>125.88809214269659</v>
      </c>
      <c r="H103" s="150">
        <v>0</v>
      </c>
      <c r="I103" s="409">
        <v>1.35</v>
      </c>
      <c r="J103" s="47">
        <f t="shared" si="9"/>
        <v>0</v>
      </c>
      <c r="K103" s="21">
        <f t="shared" si="7"/>
        <v>125.88809214269659</v>
      </c>
    </row>
    <row r="104" spans="1:11" s="22" customFormat="1" x14ac:dyDescent="0.35">
      <c r="A104" s="19">
        <v>92</v>
      </c>
      <c r="B104" s="19">
        <v>99348</v>
      </c>
      <c r="C104" s="20" t="s">
        <v>376</v>
      </c>
      <c r="D104" s="116">
        <v>0</v>
      </c>
      <c r="E104" s="409">
        <v>2.2799999999999998</v>
      </c>
      <c r="F104" s="47">
        <f t="shared" si="8"/>
        <v>0</v>
      </c>
      <c r="G104" s="21">
        <f t="shared" si="6"/>
        <v>212.6110000632209</v>
      </c>
      <c r="H104" s="150">
        <v>0</v>
      </c>
      <c r="I104" s="409">
        <v>2.2799999999999998</v>
      </c>
      <c r="J104" s="47">
        <f t="shared" si="9"/>
        <v>0</v>
      </c>
      <c r="K104" s="21">
        <f t="shared" si="7"/>
        <v>212.6110000632209</v>
      </c>
    </row>
    <row r="105" spans="1:11" s="22" customFormat="1" x14ac:dyDescent="0.35">
      <c r="A105" s="19">
        <v>93</v>
      </c>
      <c r="B105" s="19">
        <v>99349</v>
      </c>
      <c r="C105" s="20" t="s">
        <v>377</v>
      </c>
      <c r="D105" s="116">
        <v>0</v>
      </c>
      <c r="E105" s="409">
        <v>3.79</v>
      </c>
      <c r="F105" s="47">
        <f t="shared" si="8"/>
        <v>0</v>
      </c>
      <c r="G105" s="21">
        <f t="shared" si="6"/>
        <v>353.41916238579267</v>
      </c>
      <c r="H105" s="150">
        <v>0</v>
      </c>
      <c r="I105" s="409">
        <v>3.79</v>
      </c>
      <c r="J105" s="47">
        <f t="shared" si="9"/>
        <v>0</v>
      </c>
      <c r="K105" s="21">
        <f t="shared" si="7"/>
        <v>353.41916238579267</v>
      </c>
    </row>
    <row r="106" spans="1:11" s="22" customFormat="1" x14ac:dyDescent="0.35">
      <c r="A106" s="19">
        <v>94</v>
      </c>
      <c r="B106" s="19">
        <v>99350</v>
      </c>
      <c r="C106" s="20" t="s">
        <v>378</v>
      </c>
      <c r="D106" s="116">
        <v>0</v>
      </c>
      <c r="E106" s="409">
        <v>5.52</v>
      </c>
      <c r="F106" s="47">
        <f t="shared" si="8"/>
        <v>0</v>
      </c>
      <c r="G106" s="21">
        <f t="shared" si="6"/>
        <v>514.74242120569272</v>
      </c>
      <c r="H106" s="150">
        <v>0</v>
      </c>
      <c r="I106" s="409">
        <v>5.52</v>
      </c>
      <c r="J106" s="47">
        <f t="shared" si="9"/>
        <v>0</v>
      </c>
      <c r="K106" s="21">
        <f t="shared" si="7"/>
        <v>514.74242120569272</v>
      </c>
    </row>
    <row r="107" spans="1:11" s="22" customFormat="1" x14ac:dyDescent="0.35">
      <c r="A107" s="19">
        <v>95</v>
      </c>
      <c r="B107" s="19">
        <v>99366</v>
      </c>
      <c r="C107" s="20" t="s">
        <v>379</v>
      </c>
      <c r="D107" s="116">
        <v>4</v>
      </c>
      <c r="E107" s="409">
        <v>1.22</v>
      </c>
      <c r="F107" s="47">
        <f t="shared" si="8"/>
        <v>4.88</v>
      </c>
      <c r="G107" s="21">
        <f t="shared" si="6"/>
        <v>113.76553512154803</v>
      </c>
      <c r="H107" s="150">
        <v>73</v>
      </c>
      <c r="I107" s="409">
        <v>1.19</v>
      </c>
      <c r="J107" s="47">
        <f t="shared" si="9"/>
        <v>86.86999999999999</v>
      </c>
      <c r="K107" s="21">
        <f t="shared" si="7"/>
        <v>110.96802196282144</v>
      </c>
    </row>
    <row r="108" spans="1:11" s="22" customFormat="1" x14ac:dyDescent="0.35">
      <c r="A108" s="19">
        <v>96</v>
      </c>
      <c r="B108" s="19">
        <v>99367</v>
      </c>
      <c r="C108" s="20" t="s">
        <v>380</v>
      </c>
      <c r="D108" s="116">
        <v>0</v>
      </c>
      <c r="E108" s="409">
        <v>1.6</v>
      </c>
      <c r="F108" s="47">
        <f t="shared" si="8"/>
        <v>0</v>
      </c>
      <c r="G108" s="21">
        <f t="shared" si="6"/>
        <v>149.20070179875151</v>
      </c>
      <c r="H108" s="150">
        <v>0</v>
      </c>
      <c r="I108" s="409">
        <v>1.6</v>
      </c>
      <c r="J108" s="47">
        <f t="shared" si="9"/>
        <v>0</v>
      </c>
      <c r="K108" s="21">
        <f t="shared" si="7"/>
        <v>149.20070179875151</v>
      </c>
    </row>
    <row r="109" spans="1:11" s="22" customFormat="1" x14ac:dyDescent="0.35">
      <c r="A109" s="19">
        <v>97</v>
      </c>
      <c r="B109" s="19">
        <v>99368</v>
      </c>
      <c r="C109" s="20" t="s">
        <v>381</v>
      </c>
      <c r="D109" s="116">
        <v>2</v>
      </c>
      <c r="E109" s="409">
        <v>1.04</v>
      </c>
      <c r="F109" s="47">
        <f t="shared" si="8"/>
        <v>2.08</v>
      </c>
      <c r="G109" s="21">
        <f t="shared" si="6"/>
        <v>96.980456169188486</v>
      </c>
      <c r="H109" s="150">
        <v>34</v>
      </c>
      <c r="I109" s="409">
        <v>1.04</v>
      </c>
      <c r="J109" s="47">
        <f t="shared" si="9"/>
        <v>35.36</v>
      </c>
      <c r="K109" s="21">
        <f t="shared" si="7"/>
        <v>96.980456169188486</v>
      </c>
    </row>
    <row r="110" spans="1:11" s="22" customFormat="1" x14ac:dyDescent="0.35">
      <c r="A110" s="19">
        <v>98</v>
      </c>
      <c r="B110" s="19">
        <v>99441</v>
      </c>
      <c r="C110" s="20" t="s">
        <v>382</v>
      </c>
      <c r="D110" s="116">
        <v>0</v>
      </c>
      <c r="E110" s="409">
        <v>1.69</v>
      </c>
      <c r="F110" s="47">
        <f t="shared" si="8"/>
        <v>0</v>
      </c>
      <c r="G110" s="21">
        <f t="shared" si="6"/>
        <v>157.59324127493127</v>
      </c>
      <c r="H110" s="150">
        <v>0</v>
      </c>
      <c r="I110" s="409">
        <v>1.04</v>
      </c>
      <c r="J110" s="47">
        <f t="shared" si="9"/>
        <v>0</v>
      </c>
      <c r="K110" s="21">
        <f t="shared" si="7"/>
        <v>96.980456169188486</v>
      </c>
    </row>
    <row r="111" spans="1:11" s="22" customFormat="1" x14ac:dyDescent="0.35">
      <c r="A111" s="19">
        <v>99</v>
      </c>
      <c r="B111" s="19">
        <v>99442</v>
      </c>
      <c r="C111" s="20" t="s">
        <v>383</v>
      </c>
      <c r="D111" s="116">
        <v>0</v>
      </c>
      <c r="E111" s="409">
        <v>2.72</v>
      </c>
      <c r="F111" s="47">
        <f t="shared" si="8"/>
        <v>0</v>
      </c>
      <c r="G111" s="21">
        <f t="shared" si="6"/>
        <v>253.64119305787759</v>
      </c>
      <c r="H111" s="150">
        <v>0</v>
      </c>
      <c r="I111" s="409">
        <v>1.95</v>
      </c>
      <c r="J111" s="47">
        <f t="shared" si="9"/>
        <v>0</v>
      </c>
      <c r="K111" s="21">
        <f t="shared" si="7"/>
        <v>181.83835531722841</v>
      </c>
    </row>
    <row r="112" spans="1:11" s="22" customFormat="1" x14ac:dyDescent="0.35">
      <c r="A112" s="19">
        <v>100</v>
      </c>
      <c r="B112" s="19">
        <v>99443</v>
      </c>
      <c r="C112" s="20" t="s">
        <v>384</v>
      </c>
      <c r="D112" s="116">
        <v>0</v>
      </c>
      <c r="E112" s="409">
        <v>3.85</v>
      </c>
      <c r="F112" s="47">
        <f t="shared" si="8"/>
        <v>0</v>
      </c>
      <c r="G112" s="21">
        <f t="shared" si="6"/>
        <v>359.01418870324585</v>
      </c>
      <c r="H112" s="150">
        <v>0</v>
      </c>
      <c r="I112" s="409">
        <v>2.89</v>
      </c>
      <c r="J112" s="47">
        <f t="shared" si="9"/>
        <v>0</v>
      </c>
      <c r="K112" s="21">
        <f t="shared" si="7"/>
        <v>269.49376762399493</v>
      </c>
    </row>
    <row r="113" spans="1:11" s="22" customFormat="1" ht="34.5" customHeight="1" x14ac:dyDescent="0.35">
      <c r="A113" s="19">
        <v>101</v>
      </c>
      <c r="B113" s="19" t="s">
        <v>42</v>
      </c>
      <c r="C113" s="20" t="s">
        <v>385</v>
      </c>
      <c r="D113" s="116">
        <v>0</v>
      </c>
      <c r="E113" s="409">
        <v>1.27</v>
      </c>
      <c r="F113" s="47">
        <f t="shared" si="8"/>
        <v>0</v>
      </c>
      <c r="G113" s="21">
        <f t="shared" si="6"/>
        <v>118.42805705275902</v>
      </c>
      <c r="H113" s="150">
        <v>0</v>
      </c>
      <c r="I113" s="409">
        <v>1.1100000000000001</v>
      </c>
      <c r="J113" s="47">
        <f t="shared" si="9"/>
        <v>0</v>
      </c>
      <c r="K113" s="21">
        <f t="shared" si="7"/>
        <v>103.50798687288388</v>
      </c>
    </row>
    <row r="114" spans="1:11" s="22" customFormat="1" ht="29" x14ac:dyDescent="0.35">
      <c r="A114" s="19">
        <v>102</v>
      </c>
      <c r="B114" s="19" t="s">
        <v>43</v>
      </c>
      <c r="C114" s="20" t="s">
        <v>386</v>
      </c>
      <c r="D114" s="116">
        <v>0</v>
      </c>
      <c r="E114" s="409">
        <v>0.75</v>
      </c>
      <c r="F114" s="47">
        <f t="shared" si="8"/>
        <v>0</v>
      </c>
      <c r="G114" s="21">
        <f t="shared" si="6"/>
        <v>69.93782896816478</v>
      </c>
      <c r="H114" s="150">
        <v>0</v>
      </c>
      <c r="I114" s="409">
        <v>0.37</v>
      </c>
      <c r="J114" s="47">
        <f t="shared" si="9"/>
        <v>0</v>
      </c>
      <c r="K114" s="21">
        <f t="shared" si="7"/>
        <v>34.50266229096129</v>
      </c>
    </row>
    <row r="115" spans="1:11" s="22" customFormat="1" x14ac:dyDescent="0.35">
      <c r="A115" s="19">
        <v>103</v>
      </c>
      <c r="B115" s="19" t="s">
        <v>44</v>
      </c>
      <c r="C115" s="20" t="s">
        <v>129</v>
      </c>
      <c r="D115" s="116">
        <v>0</v>
      </c>
      <c r="E115" s="409">
        <v>5.17</v>
      </c>
      <c r="F115" s="47">
        <f t="shared" si="8"/>
        <v>0</v>
      </c>
      <c r="G115" s="21">
        <f t="shared" si="6"/>
        <v>482.10476768721583</v>
      </c>
      <c r="H115" s="150">
        <v>610</v>
      </c>
      <c r="I115" s="409">
        <v>4.43</v>
      </c>
      <c r="J115" s="47">
        <f t="shared" si="9"/>
        <v>2702.2999999999997</v>
      </c>
      <c r="K115" s="21">
        <f t="shared" si="7"/>
        <v>413.09944310529323</v>
      </c>
    </row>
    <row r="116" spans="1:11" s="22" customFormat="1" x14ac:dyDescent="0.35">
      <c r="A116" s="19">
        <v>104</v>
      </c>
      <c r="B116" s="19" t="s">
        <v>45</v>
      </c>
      <c r="C116" s="20" t="s">
        <v>387</v>
      </c>
      <c r="D116" s="116">
        <v>201</v>
      </c>
      <c r="E116" s="409">
        <v>0.72</v>
      </c>
      <c r="F116" s="47">
        <f t="shared" si="8"/>
        <v>144.72</v>
      </c>
      <c r="G116" s="21">
        <f t="shared" si="6"/>
        <v>67.140315809438178</v>
      </c>
      <c r="H116" s="150">
        <v>2943</v>
      </c>
      <c r="I116" s="409">
        <v>0.66</v>
      </c>
      <c r="J116" s="47">
        <f t="shared" si="9"/>
        <v>1942.38</v>
      </c>
      <c r="K116" s="21">
        <f t="shared" si="7"/>
        <v>61.545289491985002</v>
      </c>
    </row>
    <row r="117" spans="1:11" s="22" customFormat="1" ht="29" x14ac:dyDescent="0.35">
      <c r="A117" s="19">
        <v>105</v>
      </c>
      <c r="B117" s="19" t="s">
        <v>19</v>
      </c>
      <c r="C117" s="20" t="s">
        <v>39</v>
      </c>
      <c r="D117" s="116">
        <v>0</v>
      </c>
      <c r="E117" s="409">
        <v>0</v>
      </c>
      <c r="F117" s="47">
        <f t="shared" si="8"/>
        <v>0</v>
      </c>
      <c r="G117" s="21">
        <f t="shared" si="6"/>
        <v>0</v>
      </c>
      <c r="H117" s="150">
        <v>0</v>
      </c>
      <c r="I117" s="409">
        <v>0</v>
      </c>
      <c r="J117" s="47">
        <f t="shared" si="9"/>
        <v>0</v>
      </c>
      <c r="K117" s="21">
        <f t="shared" si="7"/>
        <v>0</v>
      </c>
    </row>
    <row r="118" spans="1:11" s="22" customFormat="1" x14ac:dyDescent="0.35">
      <c r="A118" s="19">
        <v>106</v>
      </c>
      <c r="B118" s="19" t="s">
        <v>46</v>
      </c>
      <c r="C118" s="20" t="s">
        <v>130</v>
      </c>
      <c r="D118" s="116">
        <v>0</v>
      </c>
      <c r="E118" s="409">
        <v>1.18</v>
      </c>
      <c r="F118" s="47">
        <f t="shared" si="8"/>
        <v>0</v>
      </c>
      <c r="G118" s="21">
        <f t="shared" si="6"/>
        <v>110.03551757657924</v>
      </c>
      <c r="H118" s="150">
        <v>4625</v>
      </c>
      <c r="I118" s="409">
        <v>1.03</v>
      </c>
      <c r="J118" s="47">
        <f t="shared" si="9"/>
        <v>4763.75</v>
      </c>
      <c r="K118" s="21">
        <f t="shared" si="7"/>
        <v>96.047951782946285</v>
      </c>
    </row>
    <row r="119" spans="1:11" s="22" customFormat="1" x14ac:dyDescent="0.35">
      <c r="A119" s="19">
        <v>107</v>
      </c>
      <c r="B119" s="19" t="s">
        <v>47</v>
      </c>
      <c r="C119" s="20" t="s">
        <v>131</v>
      </c>
      <c r="D119" s="116">
        <v>0</v>
      </c>
      <c r="E119" s="409">
        <v>0.83</v>
      </c>
      <c r="F119" s="47">
        <f t="shared" si="8"/>
        <v>0</v>
      </c>
      <c r="G119" s="21">
        <f t="shared" si="6"/>
        <v>77.397864058102343</v>
      </c>
      <c r="H119" s="150">
        <v>5617</v>
      </c>
      <c r="I119" s="409">
        <v>0.72</v>
      </c>
      <c r="J119" s="47">
        <f t="shared" si="9"/>
        <v>4044.24</v>
      </c>
      <c r="K119" s="21">
        <f t="shared" si="7"/>
        <v>67.140315809438178</v>
      </c>
    </row>
    <row r="120" spans="1:11" s="22" customFormat="1" x14ac:dyDescent="0.35">
      <c r="A120" s="19">
        <v>108</v>
      </c>
      <c r="B120" s="19" t="s">
        <v>48</v>
      </c>
      <c r="C120" s="20" t="s">
        <v>132</v>
      </c>
      <c r="D120" s="116">
        <v>3</v>
      </c>
      <c r="E120" s="409">
        <v>0.64</v>
      </c>
      <c r="F120" s="47">
        <f t="shared" si="8"/>
        <v>1.92</v>
      </c>
      <c r="G120" s="21">
        <f t="shared" si="6"/>
        <v>59.680280719500608</v>
      </c>
      <c r="H120" s="150">
        <v>358</v>
      </c>
      <c r="I120" s="409">
        <v>0.6</v>
      </c>
      <c r="J120" s="47">
        <f t="shared" si="9"/>
        <v>214.79999999999998</v>
      </c>
      <c r="K120" s="21">
        <f t="shared" si="7"/>
        <v>55.95026317453182</v>
      </c>
    </row>
    <row r="121" spans="1:11" s="22" customFormat="1" x14ac:dyDescent="0.35">
      <c r="A121" s="19">
        <v>109</v>
      </c>
      <c r="B121" s="19" t="s">
        <v>21</v>
      </c>
      <c r="C121" s="20" t="s">
        <v>24</v>
      </c>
      <c r="D121" s="116">
        <v>0</v>
      </c>
      <c r="E121" s="409">
        <v>0</v>
      </c>
      <c r="F121" s="47">
        <f t="shared" si="8"/>
        <v>0</v>
      </c>
      <c r="G121" s="21">
        <f t="shared" si="6"/>
        <v>0</v>
      </c>
      <c r="H121" s="150">
        <v>0</v>
      </c>
      <c r="I121" s="409">
        <v>0</v>
      </c>
      <c r="J121" s="47">
        <f t="shared" si="9"/>
        <v>0</v>
      </c>
      <c r="K121" s="21">
        <f t="shared" si="7"/>
        <v>0</v>
      </c>
    </row>
    <row r="122" spans="1:11" s="22" customFormat="1" ht="29" x14ac:dyDescent="0.35">
      <c r="A122" s="19">
        <v>110</v>
      </c>
      <c r="B122" s="19" t="s">
        <v>49</v>
      </c>
      <c r="C122" s="20" t="s">
        <v>388</v>
      </c>
      <c r="D122" s="116">
        <v>0</v>
      </c>
      <c r="E122" s="409">
        <v>0</v>
      </c>
      <c r="F122" s="47">
        <f t="shared" si="8"/>
        <v>0</v>
      </c>
      <c r="G122" s="21">
        <f t="shared" si="6"/>
        <v>0</v>
      </c>
      <c r="H122" s="150">
        <v>0</v>
      </c>
      <c r="I122" s="409">
        <v>0</v>
      </c>
      <c r="J122" s="47">
        <f t="shared" si="9"/>
        <v>0</v>
      </c>
      <c r="K122" s="21">
        <f t="shared" si="7"/>
        <v>0</v>
      </c>
    </row>
    <row r="123" spans="1:11" s="22" customFormat="1" ht="29" x14ac:dyDescent="0.35">
      <c r="A123" s="19">
        <v>111</v>
      </c>
      <c r="B123" s="19" t="s">
        <v>33</v>
      </c>
      <c r="C123" s="20" t="s">
        <v>389</v>
      </c>
      <c r="D123" s="116">
        <v>0</v>
      </c>
      <c r="E123" s="409">
        <v>0</v>
      </c>
      <c r="F123" s="47">
        <f t="shared" si="8"/>
        <v>0</v>
      </c>
      <c r="G123" s="21">
        <f t="shared" si="6"/>
        <v>0</v>
      </c>
      <c r="H123" s="150">
        <v>0</v>
      </c>
      <c r="I123" s="409">
        <v>0</v>
      </c>
      <c r="J123" s="47">
        <f t="shared" si="9"/>
        <v>0</v>
      </c>
      <c r="K123" s="21">
        <f t="shared" si="7"/>
        <v>0</v>
      </c>
    </row>
    <row r="124" spans="1:11" s="22" customFormat="1" x14ac:dyDescent="0.35">
      <c r="A124" s="19">
        <v>112</v>
      </c>
      <c r="B124" s="19" t="s">
        <v>50</v>
      </c>
      <c r="C124" s="20" t="s">
        <v>390</v>
      </c>
      <c r="D124" s="116">
        <v>0</v>
      </c>
      <c r="E124" s="409">
        <v>2.64</v>
      </c>
      <c r="F124" s="47">
        <f t="shared" ref="F124:F187" si="10">D124*E124</f>
        <v>0</v>
      </c>
      <c r="G124" s="21">
        <f t="shared" ref="G124:G186" si="11">E124*$F$12</f>
        <v>246.18115796794001</v>
      </c>
      <c r="H124" s="150">
        <v>974</v>
      </c>
      <c r="I124" s="409">
        <v>2.64</v>
      </c>
      <c r="J124" s="47">
        <f t="shared" ref="J124:J187" si="12">H124*I124</f>
        <v>2571.36</v>
      </c>
      <c r="K124" s="21">
        <f t="shared" ref="K124:K186" si="13">I124*$F$12</f>
        <v>246.18115796794001</v>
      </c>
    </row>
    <row r="125" spans="1:11" s="22" customFormat="1" x14ac:dyDescent="0.35">
      <c r="A125" s="19">
        <v>113</v>
      </c>
      <c r="B125" s="19" t="s">
        <v>51</v>
      </c>
      <c r="C125" s="20" t="s">
        <v>133</v>
      </c>
      <c r="D125" s="116">
        <v>0</v>
      </c>
      <c r="E125" s="409">
        <v>0</v>
      </c>
      <c r="F125" s="47">
        <f t="shared" si="10"/>
        <v>0</v>
      </c>
      <c r="G125" s="21">
        <f t="shared" si="11"/>
        <v>0</v>
      </c>
      <c r="H125" s="150">
        <v>3151</v>
      </c>
      <c r="I125" s="409">
        <v>0</v>
      </c>
      <c r="J125" s="47">
        <f t="shared" si="12"/>
        <v>0</v>
      </c>
      <c r="K125" s="21">
        <f t="shared" si="13"/>
        <v>0</v>
      </c>
    </row>
    <row r="126" spans="1:11" s="22" customFormat="1" x14ac:dyDescent="0.35">
      <c r="A126" s="19">
        <v>114</v>
      </c>
      <c r="B126" s="19" t="s">
        <v>52</v>
      </c>
      <c r="C126" s="20" t="s">
        <v>134</v>
      </c>
      <c r="D126" s="116">
        <v>0</v>
      </c>
      <c r="E126" s="409">
        <v>0</v>
      </c>
      <c r="F126" s="47">
        <f t="shared" si="10"/>
        <v>0</v>
      </c>
      <c r="G126" s="21">
        <f t="shared" si="11"/>
        <v>0</v>
      </c>
      <c r="H126" s="150">
        <v>0</v>
      </c>
      <c r="I126" s="409">
        <v>0</v>
      </c>
      <c r="J126" s="47">
        <f t="shared" si="12"/>
        <v>0</v>
      </c>
      <c r="K126" s="21">
        <f t="shared" si="13"/>
        <v>0</v>
      </c>
    </row>
    <row r="127" spans="1:11" s="22" customFormat="1" x14ac:dyDescent="0.35">
      <c r="A127" s="19">
        <v>115</v>
      </c>
      <c r="B127" s="19" t="s">
        <v>53</v>
      </c>
      <c r="C127" s="20" t="s">
        <v>135</v>
      </c>
      <c r="D127" s="116">
        <v>0</v>
      </c>
      <c r="E127" s="409">
        <v>0</v>
      </c>
      <c r="F127" s="47">
        <f t="shared" si="10"/>
        <v>0</v>
      </c>
      <c r="G127" s="21">
        <f t="shared" si="11"/>
        <v>0</v>
      </c>
      <c r="H127" s="150">
        <v>0</v>
      </c>
      <c r="I127" s="409">
        <v>0</v>
      </c>
      <c r="J127" s="47">
        <f t="shared" si="12"/>
        <v>0</v>
      </c>
      <c r="K127" s="21">
        <f t="shared" si="13"/>
        <v>0</v>
      </c>
    </row>
    <row r="128" spans="1:11" s="22" customFormat="1" ht="29" x14ac:dyDescent="0.35">
      <c r="A128" s="19">
        <v>116</v>
      </c>
      <c r="B128" s="19" t="s">
        <v>54</v>
      </c>
      <c r="C128" s="20" t="s">
        <v>391</v>
      </c>
      <c r="D128" s="116">
        <v>0</v>
      </c>
      <c r="E128" s="409">
        <v>1.02</v>
      </c>
      <c r="F128" s="47">
        <f t="shared" si="10"/>
        <v>0</v>
      </c>
      <c r="G128" s="21">
        <f t="shared" si="11"/>
        <v>95.115447396704099</v>
      </c>
      <c r="H128" s="150">
        <v>0</v>
      </c>
      <c r="I128" s="409">
        <v>0.94</v>
      </c>
      <c r="J128" s="47">
        <f t="shared" si="12"/>
        <v>0</v>
      </c>
      <c r="K128" s="21">
        <f t="shared" si="13"/>
        <v>87.655412306766507</v>
      </c>
    </row>
    <row r="129" spans="1:11" s="22" customFormat="1" x14ac:dyDescent="0.35">
      <c r="A129" s="19">
        <v>117</v>
      </c>
      <c r="B129" s="19" t="s">
        <v>22</v>
      </c>
      <c r="C129" s="20" t="s">
        <v>25</v>
      </c>
      <c r="D129" s="116">
        <v>0</v>
      </c>
      <c r="E129" s="409">
        <v>0</v>
      </c>
      <c r="F129" s="47">
        <f t="shared" si="10"/>
        <v>0</v>
      </c>
      <c r="G129" s="21">
        <f t="shared" si="11"/>
        <v>0</v>
      </c>
      <c r="H129" s="150">
        <v>0</v>
      </c>
      <c r="I129" s="409">
        <v>0</v>
      </c>
      <c r="J129" s="47">
        <f t="shared" si="12"/>
        <v>0</v>
      </c>
      <c r="K129" s="21">
        <f t="shared" si="13"/>
        <v>0</v>
      </c>
    </row>
    <row r="130" spans="1:11" s="22" customFormat="1" x14ac:dyDescent="0.35">
      <c r="A130" s="19">
        <v>118</v>
      </c>
      <c r="B130" s="19" t="s">
        <v>55</v>
      </c>
      <c r="C130" s="20" t="s">
        <v>392</v>
      </c>
      <c r="D130" s="116">
        <v>0</v>
      </c>
      <c r="E130" s="409">
        <v>0.12</v>
      </c>
      <c r="F130" s="47">
        <f t="shared" si="10"/>
        <v>0</v>
      </c>
      <c r="G130" s="21">
        <f t="shared" si="11"/>
        <v>11.190052634906364</v>
      </c>
      <c r="H130" s="150">
        <v>0</v>
      </c>
      <c r="I130" s="409">
        <v>0.09</v>
      </c>
      <c r="J130" s="47">
        <f t="shared" si="12"/>
        <v>0</v>
      </c>
      <c r="K130" s="21">
        <f t="shared" si="13"/>
        <v>8.3925394761797723</v>
      </c>
    </row>
    <row r="131" spans="1:11" s="22" customFormat="1" x14ac:dyDescent="0.35">
      <c r="A131" s="19">
        <v>119</v>
      </c>
      <c r="B131" s="19" t="s">
        <v>56</v>
      </c>
      <c r="C131" s="20" t="s">
        <v>393</v>
      </c>
      <c r="D131" s="116">
        <v>2392</v>
      </c>
      <c r="E131" s="409">
        <v>0.59</v>
      </c>
      <c r="F131" s="47">
        <f t="shared" si="10"/>
        <v>1411.28</v>
      </c>
      <c r="G131" s="21">
        <f t="shared" si="11"/>
        <v>55.017758788289619</v>
      </c>
      <c r="H131" s="150">
        <v>4038</v>
      </c>
      <c r="I131" s="409">
        <v>0.55000000000000004</v>
      </c>
      <c r="J131" s="47">
        <f t="shared" si="12"/>
        <v>2220.9</v>
      </c>
      <c r="K131" s="21">
        <f t="shared" si="13"/>
        <v>51.287741243320838</v>
      </c>
    </row>
    <row r="132" spans="1:11" s="22" customFormat="1" ht="29" x14ac:dyDescent="0.35">
      <c r="A132" s="19">
        <v>120</v>
      </c>
      <c r="B132" s="19" t="s">
        <v>57</v>
      </c>
      <c r="C132" s="20" t="s">
        <v>136</v>
      </c>
      <c r="D132" s="116">
        <v>0</v>
      </c>
      <c r="E132" s="409">
        <v>0.75</v>
      </c>
      <c r="F132" s="47">
        <f t="shared" si="10"/>
        <v>0</v>
      </c>
      <c r="G132" s="21">
        <f t="shared" si="11"/>
        <v>69.93782896816478</v>
      </c>
      <c r="H132" s="150">
        <v>0</v>
      </c>
      <c r="I132" s="409">
        <v>0.37</v>
      </c>
      <c r="J132" s="47">
        <f t="shared" si="12"/>
        <v>0</v>
      </c>
      <c r="K132" s="21">
        <f t="shared" si="13"/>
        <v>34.50266229096129</v>
      </c>
    </row>
    <row r="133" spans="1:11" s="22" customFormat="1" ht="29" x14ac:dyDescent="0.35">
      <c r="A133" s="19">
        <v>121</v>
      </c>
      <c r="B133" s="19" t="s">
        <v>58</v>
      </c>
      <c r="C133" s="20" t="s">
        <v>137</v>
      </c>
      <c r="D133" s="116">
        <v>18214</v>
      </c>
      <c r="E133" s="409">
        <v>0.75</v>
      </c>
      <c r="F133" s="47">
        <f t="shared" si="10"/>
        <v>13660.5</v>
      </c>
      <c r="G133" s="21">
        <f t="shared" si="11"/>
        <v>69.93782896816478</v>
      </c>
      <c r="H133" s="150">
        <v>232</v>
      </c>
      <c r="I133" s="409">
        <v>0.37</v>
      </c>
      <c r="J133" s="47">
        <f t="shared" si="12"/>
        <v>85.84</v>
      </c>
      <c r="K133" s="21">
        <f t="shared" si="13"/>
        <v>34.50266229096129</v>
      </c>
    </row>
    <row r="134" spans="1:11" s="22" customFormat="1" ht="43.5" x14ac:dyDescent="0.35">
      <c r="A134" s="19">
        <v>122</v>
      </c>
      <c r="B134" s="19" t="s">
        <v>15</v>
      </c>
      <c r="C134" s="20" t="s">
        <v>18</v>
      </c>
      <c r="D134" s="116">
        <v>0</v>
      </c>
      <c r="E134" s="409">
        <v>0</v>
      </c>
      <c r="F134" s="47">
        <f t="shared" si="10"/>
        <v>0</v>
      </c>
      <c r="G134" s="21">
        <f t="shared" si="11"/>
        <v>0</v>
      </c>
      <c r="H134" s="150">
        <v>0</v>
      </c>
      <c r="I134" s="409">
        <v>0</v>
      </c>
      <c r="J134" s="47">
        <f t="shared" si="12"/>
        <v>0</v>
      </c>
      <c r="K134" s="21">
        <f t="shared" si="13"/>
        <v>0</v>
      </c>
    </row>
    <row r="135" spans="1:11" s="22" customFormat="1" ht="29" x14ac:dyDescent="0.35">
      <c r="A135" s="19">
        <v>123</v>
      </c>
      <c r="B135" s="19" t="s">
        <v>16</v>
      </c>
      <c r="C135" s="20" t="s">
        <v>138</v>
      </c>
      <c r="D135" s="116">
        <v>0</v>
      </c>
      <c r="E135" s="409">
        <v>0</v>
      </c>
      <c r="F135" s="47">
        <f t="shared" si="10"/>
        <v>0</v>
      </c>
      <c r="G135" s="21">
        <f t="shared" si="11"/>
        <v>0</v>
      </c>
      <c r="H135" s="150">
        <v>0</v>
      </c>
      <c r="I135" s="409">
        <v>0</v>
      </c>
      <c r="J135" s="47">
        <f t="shared" si="12"/>
        <v>0</v>
      </c>
      <c r="K135" s="21">
        <f t="shared" si="13"/>
        <v>0</v>
      </c>
    </row>
    <row r="136" spans="1:11" s="22" customFormat="1" ht="29" x14ac:dyDescent="0.35">
      <c r="A136" s="19">
        <v>124</v>
      </c>
      <c r="B136" s="19" t="s">
        <v>17</v>
      </c>
      <c r="C136" s="20" t="s">
        <v>139</v>
      </c>
      <c r="D136" s="116">
        <v>0</v>
      </c>
      <c r="E136" s="409">
        <v>0</v>
      </c>
      <c r="F136" s="47">
        <f t="shared" si="10"/>
        <v>0</v>
      </c>
      <c r="G136" s="21">
        <f t="shared" si="11"/>
        <v>0</v>
      </c>
      <c r="H136" s="150">
        <v>0</v>
      </c>
      <c r="I136" s="409">
        <v>0</v>
      </c>
      <c r="J136" s="47">
        <f t="shared" si="12"/>
        <v>0</v>
      </c>
      <c r="K136" s="21">
        <f t="shared" si="13"/>
        <v>0</v>
      </c>
    </row>
    <row r="137" spans="1:11" s="22" customFormat="1" x14ac:dyDescent="0.35">
      <c r="A137" s="19">
        <v>125</v>
      </c>
      <c r="B137" s="19" t="s">
        <v>23</v>
      </c>
      <c r="C137" s="20" t="s">
        <v>140</v>
      </c>
      <c r="D137" s="116">
        <v>0</v>
      </c>
      <c r="E137" s="409">
        <v>0</v>
      </c>
      <c r="F137" s="47">
        <f t="shared" si="10"/>
        <v>0</v>
      </c>
      <c r="G137" s="21">
        <f t="shared" si="11"/>
        <v>0</v>
      </c>
      <c r="H137" s="150">
        <v>0</v>
      </c>
      <c r="I137" s="409">
        <v>0</v>
      </c>
      <c r="J137" s="47">
        <f t="shared" si="12"/>
        <v>0</v>
      </c>
      <c r="K137" s="21">
        <f t="shared" si="13"/>
        <v>0</v>
      </c>
    </row>
    <row r="138" spans="1:11" s="22" customFormat="1" x14ac:dyDescent="0.35">
      <c r="A138" s="19">
        <v>126</v>
      </c>
      <c r="B138" s="19" t="s">
        <v>59</v>
      </c>
      <c r="C138" s="20" t="s">
        <v>395</v>
      </c>
      <c r="D138" s="116">
        <v>0</v>
      </c>
      <c r="E138" s="409">
        <v>3.27</v>
      </c>
      <c r="F138" s="47">
        <f t="shared" si="10"/>
        <v>0</v>
      </c>
      <c r="G138" s="21">
        <f t="shared" si="11"/>
        <v>304.92893430119841</v>
      </c>
      <c r="H138" s="150">
        <v>532</v>
      </c>
      <c r="I138" s="409">
        <v>2.17</v>
      </c>
      <c r="J138" s="47">
        <f t="shared" si="12"/>
        <v>1154.44</v>
      </c>
      <c r="K138" s="21">
        <f t="shared" si="13"/>
        <v>202.35345181455673</v>
      </c>
    </row>
    <row r="139" spans="1:11" s="22" customFormat="1" x14ac:dyDescent="0.35">
      <c r="A139" s="19">
        <v>127</v>
      </c>
      <c r="B139" s="19" t="s">
        <v>60</v>
      </c>
      <c r="C139" s="20" t="s">
        <v>394</v>
      </c>
      <c r="D139" s="116">
        <v>98</v>
      </c>
      <c r="E139" s="409">
        <v>1.1499999999999999</v>
      </c>
      <c r="F139" s="47">
        <f t="shared" si="10"/>
        <v>112.69999999999999</v>
      </c>
      <c r="G139" s="21">
        <f t="shared" si="11"/>
        <v>107.23800441785265</v>
      </c>
      <c r="H139" s="150">
        <v>1861</v>
      </c>
      <c r="I139" s="409">
        <v>0.7</v>
      </c>
      <c r="J139" s="47">
        <f t="shared" si="12"/>
        <v>1302.6999999999998</v>
      </c>
      <c r="K139" s="21">
        <f t="shared" si="13"/>
        <v>65.275307036953791</v>
      </c>
    </row>
    <row r="140" spans="1:11" s="22" customFormat="1" x14ac:dyDescent="0.35">
      <c r="A140" s="19">
        <v>128</v>
      </c>
      <c r="B140" s="19" t="s">
        <v>61</v>
      </c>
      <c r="C140" s="20" t="s">
        <v>141</v>
      </c>
      <c r="D140" s="116">
        <v>0</v>
      </c>
      <c r="E140" s="409">
        <v>0.44</v>
      </c>
      <c r="F140" s="47">
        <f t="shared" si="10"/>
        <v>0</v>
      </c>
      <c r="G140" s="21">
        <f t="shared" si="11"/>
        <v>41.030192994656666</v>
      </c>
      <c r="H140" s="150">
        <v>0</v>
      </c>
      <c r="I140" s="409">
        <v>0.44</v>
      </c>
      <c r="J140" s="47">
        <f t="shared" si="12"/>
        <v>0</v>
      </c>
      <c r="K140" s="21">
        <f t="shared" si="13"/>
        <v>41.030192994656666</v>
      </c>
    </row>
    <row r="141" spans="1:11" s="22" customFormat="1" x14ac:dyDescent="0.35">
      <c r="A141" s="19">
        <v>129</v>
      </c>
      <c r="B141" s="19" t="s">
        <v>62</v>
      </c>
      <c r="C141" s="20" t="s">
        <v>396</v>
      </c>
      <c r="D141" s="116">
        <v>1208</v>
      </c>
      <c r="E141" s="409">
        <v>0.92</v>
      </c>
      <c r="F141" s="47">
        <f t="shared" si="10"/>
        <v>1111.3600000000001</v>
      </c>
      <c r="G141" s="21">
        <f t="shared" si="11"/>
        <v>85.79040353428212</v>
      </c>
      <c r="H141" s="150">
        <v>3908</v>
      </c>
      <c r="I141" s="409">
        <v>0.92</v>
      </c>
      <c r="J141" s="47">
        <f t="shared" si="12"/>
        <v>3595.36</v>
      </c>
      <c r="K141" s="21">
        <f t="shared" si="13"/>
        <v>85.79040353428212</v>
      </c>
    </row>
    <row r="142" spans="1:11" s="22" customFormat="1" x14ac:dyDescent="0.35">
      <c r="A142" s="19">
        <v>130</v>
      </c>
      <c r="B142" s="19" t="s">
        <v>63</v>
      </c>
      <c r="C142" s="20" t="s">
        <v>397</v>
      </c>
      <c r="D142" s="116">
        <v>0</v>
      </c>
      <c r="E142" s="409">
        <v>5.28</v>
      </c>
      <c r="F142" s="47">
        <f t="shared" si="10"/>
        <v>0</v>
      </c>
      <c r="G142" s="21">
        <f t="shared" si="11"/>
        <v>492.36231593588002</v>
      </c>
      <c r="H142" s="150">
        <v>0</v>
      </c>
      <c r="I142" s="409">
        <v>5.28</v>
      </c>
      <c r="J142" s="47">
        <f t="shared" si="12"/>
        <v>0</v>
      </c>
      <c r="K142" s="21">
        <f t="shared" si="13"/>
        <v>492.36231593588002</v>
      </c>
    </row>
    <row r="143" spans="1:11" s="22" customFormat="1" x14ac:dyDescent="0.35">
      <c r="A143" s="19">
        <v>131</v>
      </c>
      <c r="B143" s="19" t="s">
        <v>64</v>
      </c>
      <c r="C143" s="20" t="s">
        <v>399</v>
      </c>
      <c r="D143" s="116">
        <v>0</v>
      </c>
      <c r="E143" s="409">
        <v>0.44</v>
      </c>
      <c r="F143" s="47">
        <f t="shared" si="10"/>
        <v>0</v>
      </c>
      <c r="G143" s="21">
        <f t="shared" si="11"/>
        <v>41.030192994656666</v>
      </c>
      <c r="H143" s="150">
        <v>0</v>
      </c>
      <c r="I143" s="409">
        <v>0.44</v>
      </c>
      <c r="J143" s="47">
        <f t="shared" si="12"/>
        <v>0</v>
      </c>
      <c r="K143" s="21">
        <f t="shared" si="13"/>
        <v>41.030192994656666</v>
      </c>
    </row>
    <row r="144" spans="1:11" s="22" customFormat="1" x14ac:dyDescent="0.35">
      <c r="A144" s="19">
        <v>132</v>
      </c>
      <c r="B144" s="19" t="s">
        <v>65</v>
      </c>
      <c r="C144" s="20" t="s">
        <v>398</v>
      </c>
      <c r="D144" s="116">
        <v>0</v>
      </c>
      <c r="E144" s="409">
        <v>5.28</v>
      </c>
      <c r="F144" s="47">
        <f t="shared" si="10"/>
        <v>0</v>
      </c>
      <c r="G144" s="21">
        <f t="shared" si="11"/>
        <v>492.36231593588002</v>
      </c>
      <c r="H144" s="150">
        <v>0</v>
      </c>
      <c r="I144" s="409">
        <v>5.28</v>
      </c>
      <c r="J144" s="47">
        <f t="shared" si="12"/>
        <v>0</v>
      </c>
      <c r="K144" s="21">
        <f t="shared" si="13"/>
        <v>492.36231593588002</v>
      </c>
    </row>
    <row r="145" spans="1:11" s="22" customFormat="1" x14ac:dyDescent="0.35">
      <c r="A145" s="19">
        <v>133</v>
      </c>
      <c r="B145" s="19" t="s">
        <v>66</v>
      </c>
      <c r="C145" s="20" t="s">
        <v>142</v>
      </c>
      <c r="D145" s="116">
        <v>1403</v>
      </c>
      <c r="E145" s="409">
        <v>0.54</v>
      </c>
      <c r="F145" s="47">
        <f t="shared" si="10"/>
        <v>757.62</v>
      </c>
      <c r="G145" s="21">
        <f t="shared" si="11"/>
        <v>50.355236857078637</v>
      </c>
      <c r="H145" s="150">
        <v>3544</v>
      </c>
      <c r="I145" s="409">
        <v>0.54</v>
      </c>
      <c r="J145" s="47">
        <f t="shared" si="12"/>
        <v>1913.7600000000002</v>
      </c>
      <c r="K145" s="21">
        <f t="shared" si="13"/>
        <v>50.355236857078637</v>
      </c>
    </row>
    <row r="146" spans="1:11" s="22" customFormat="1" x14ac:dyDescent="0.35">
      <c r="A146" s="19">
        <v>134</v>
      </c>
      <c r="B146" s="19" t="s">
        <v>67</v>
      </c>
      <c r="C146" s="20" t="s">
        <v>400</v>
      </c>
      <c r="D146" s="116">
        <v>3352</v>
      </c>
      <c r="E146" s="409">
        <v>1.29</v>
      </c>
      <c r="F146" s="47">
        <f t="shared" si="10"/>
        <v>4324.08</v>
      </c>
      <c r="G146" s="21">
        <f t="shared" si="11"/>
        <v>120.29306582524342</v>
      </c>
      <c r="H146" s="150">
        <v>23252</v>
      </c>
      <c r="I146" s="409">
        <v>1.1299999999999999</v>
      </c>
      <c r="J146" s="47">
        <f t="shared" si="12"/>
        <v>26274.76</v>
      </c>
      <c r="K146" s="21">
        <f t="shared" si="13"/>
        <v>105.37299564536825</v>
      </c>
    </row>
    <row r="147" spans="1:11" s="22" customFormat="1" x14ac:dyDescent="0.35">
      <c r="A147" s="19">
        <v>135</v>
      </c>
      <c r="B147" s="19" t="s">
        <v>68</v>
      </c>
      <c r="C147" s="20" t="s">
        <v>401</v>
      </c>
      <c r="D147" s="116">
        <v>0</v>
      </c>
      <c r="E147" s="409">
        <v>5.28</v>
      </c>
      <c r="F147" s="47">
        <f t="shared" si="10"/>
        <v>0</v>
      </c>
      <c r="G147" s="21">
        <f t="shared" si="11"/>
        <v>492.36231593588002</v>
      </c>
      <c r="H147" s="150">
        <v>17</v>
      </c>
      <c r="I147" s="409">
        <v>5.28</v>
      </c>
      <c r="J147" s="47">
        <f t="shared" si="12"/>
        <v>89.76</v>
      </c>
      <c r="K147" s="21">
        <f t="shared" si="13"/>
        <v>492.36231593588002</v>
      </c>
    </row>
    <row r="148" spans="1:11" s="22" customFormat="1" x14ac:dyDescent="0.35">
      <c r="A148" s="19">
        <v>136</v>
      </c>
      <c r="B148" s="19" t="s">
        <v>69</v>
      </c>
      <c r="C148" s="20" t="s">
        <v>402</v>
      </c>
      <c r="D148" s="116">
        <v>0</v>
      </c>
      <c r="E148" s="409">
        <v>0.14000000000000001</v>
      </c>
      <c r="F148" s="47">
        <f t="shared" si="10"/>
        <v>0</v>
      </c>
      <c r="G148" s="21">
        <f t="shared" si="11"/>
        <v>13.05506140739076</v>
      </c>
      <c r="H148" s="150">
        <v>0</v>
      </c>
      <c r="I148" s="409">
        <v>0.12</v>
      </c>
      <c r="J148" s="47">
        <f t="shared" si="12"/>
        <v>0</v>
      </c>
      <c r="K148" s="21">
        <f t="shared" si="13"/>
        <v>11.190052634906364</v>
      </c>
    </row>
    <row r="149" spans="1:11" s="22" customFormat="1" x14ac:dyDescent="0.35">
      <c r="A149" s="19">
        <v>137</v>
      </c>
      <c r="B149" s="19" t="s">
        <v>70</v>
      </c>
      <c r="C149" s="20" t="s">
        <v>403</v>
      </c>
      <c r="D149" s="116">
        <v>0</v>
      </c>
      <c r="E149" s="409">
        <v>3.08</v>
      </c>
      <c r="F149" s="47">
        <f t="shared" si="10"/>
        <v>0</v>
      </c>
      <c r="G149" s="21">
        <f t="shared" si="11"/>
        <v>287.21135096259667</v>
      </c>
      <c r="H149" s="150">
        <v>0</v>
      </c>
      <c r="I149" s="409">
        <v>2.6399999999999997</v>
      </c>
      <c r="J149" s="47">
        <f t="shared" si="12"/>
        <v>0</v>
      </c>
      <c r="K149" s="21">
        <f t="shared" si="13"/>
        <v>246.18115796793998</v>
      </c>
    </row>
    <row r="150" spans="1:11" s="22" customFormat="1" x14ac:dyDescent="0.35">
      <c r="A150" s="19">
        <v>138</v>
      </c>
      <c r="B150" s="19" t="s">
        <v>71</v>
      </c>
      <c r="C150" s="20" t="s">
        <v>404</v>
      </c>
      <c r="D150" s="116">
        <v>0</v>
      </c>
      <c r="E150" s="409">
        <v>5.28</v>
      </c>
      <c r="F150" s="47">
        <f t="shared" si="10"/>
        <v>0</v>
      </c>
      <c r="G150" s="21">
        <f t="shared" si="11"/>
        <v>492.36231593588002</v>
      </c>
      <c r="H150" s="150">
        <v>0</v>
      </c>
      <c r="I150" s="409">
        <v>5.28</v>
      </c>
      <c r="J150" s="47">
        <f t="shared" si="12"/>
        <v>0</v>
      </c>
      <c r="K150" s="21">
        <f t="shared" si="13"/>
        <v>492.36231593588002</v>
      </c>
    </row>
    <row r="151" spans="1:11" s="22" customFormat="1" x14ac:dyDescent="0.35">
      <c r="A151" s="19">
        <v>139</v>
      </c>
      <c r="B151" s="19" t="s">
        <v>789</v>
      </c>
      <c r="C151" s="20" t="s">
        <v>790</v>
      </c>
      <c r="D151" s="116">
        <v>0</v>
      </c>
      <c r="E151" s="409">
        <v>0.12</v>
      </c>
      <c r="F151" s="47">
        <f t="shared" ref="F151" si="14">D151*E151</f>
        <v>0</v>
      </c>
      <c r="G151" s="21">
        <f t="shared" ref="G151" si="15">E151*$F$12</f>
        <v>11.190052634906364</v>
      </c>
      <c r="H151" s="150">
        <v>0</v>
      </c>
      <c r="I151" s="409">
        <v>0.09</v>
      </c>
      <c r="J151" s="47">
        <f t="shared" ref="J151" si="16">H151*I151</f>
        <v>0</v>
      </c>
      <c r="K151" s="21">
        <f t="shared" ref="K151" si="17">I151*$F$12</f>
        <v>8.3925394761797723</v>
      </c>
    </row>
    <row r="152" spans="1:11" s="22" customFormat="1" x14ac:dyDescent="0.35">
      <c r="A152" s="19">
        <v>140</v>
      </c>
      <c r="B152" s="19" t="s">
        <v>72</v>
      </c>
      <c r="C152" s="20" t="s">
        <v>405</v>
      </c>
      <c r="D152" s="116">
        <v>0</v>
      </c>
      <c r="E152" s="409">
        <v>1.02</v>
      </c>
      <c r="F152" s="47">
        <f t="shared" si="10"/>
        <v>0</v>
      </c>
      <c r="G152" s="21">
        <f t="shared" si="11"/>
        <v>95.115447396704099</v>
      </c>
      <c r="H152" s="150">
        <v>0</v>
      </c>
      <c r="I152" s="409">
        <v>0.94</v>
      </c>
      <c r="J152" s="47">
        <f t="shared" si="12"/>
        <v>0</v>
      </c>
      <c r="K152" s="21">
        <f t="shared" si="13"/>
        <v>87.655412306766507</v>
      </c>
    </row>
    <row r="153" spans="1:11" s="22" customFormat="1" x14ac:dyDescent="0.35">
      <c r="A153" s="19">
        <v>141</v>
      </c>
      <c r="B153" s="19" t="s">
        <v>20</v>
      </c>
      <c r="C153" s="20" t="s">
        <v>406</v>
      </c>
      <c r="D153" s="116">
        <v>0</v>
      </c>
      <c r="E153" s="409">
        <v>0</v>
      </c>
      <c r="F153" s="47">
        <f t="shared" si="10"/>
        <v>0</v>
      </c>
      <c r="G153" s="21">
        <f t="shared" si="11"/>
        <v>0</v>
      </c>
      <c r="H153" s="150">
        <v>0</v>
      </c>
      <c r="I153" s="409">
        <v>0</v>
      </c>
      <c r="J153" s="47">
        <f t="shared" si="12"/>
        <v>0</v>
      </c>
      <c r="K153" s="21">
        <f t="shared" si="13"/>
        <v>0</v>
      </c>
    </row>
    <row r="154" spans="1:11" s="22" customFormat="1" x14ac:dyDescent="0.35">
      <c r="A154" s="19">
        <v>142</v>
      </c>
      <c r="B154" s="19" t="s">
        <v>73</v>
      </c>
      <c r="C154" s="20" t="s">
        <v>143</v>
      </c>
      <c r="D154" s="116">
        <v>0</v>
      </c>
      <c r="E154" s="409">
        <v>5.17</v>
      </c>
      <c r="F154" s="47">
        <f t="shared" si="10"/>
        <v>0</v>
      </c>
      <c r="G154" s="21">
        <f t="shared" si="11"/>
        <v>482.10476768721583</v>
      </c>
      <c r="H154" s="150">
        <v>0</v>
      </c>
      <c r="I154" s="409">
        <v>4.43</v>
      </c>
      <c r="J154" s="47">
        <f t="shared" si="12"/>
        <v>0</v>
      </c>
      <c r="K154" s="21">
        <f t="shared" si="13"/>
        <v>413.09944310529323</v>
      </c>
    </row>
    <row r="155" spans="1:11" s="22" customFormat="1" x14ac:dyDescent="0.35">
      <c r="A155" s="19">
        <v>143</v>
      </c>
      <c r="B155" s="19" t="s">
        <v>74</v>
      </c>
      <c r="C155" s="20" t="s">
        <v>144</v>
      </c>
      <c r="D155" s="116">
        <v>0</v>
      </c>
      <c r="E155" s="409">
        <v>1.7</v>
      </c>
      <c r="F155" s="47">
        <f t="shared" si="10"/>
        <v>0</v>
      </c>
      <c r="G155" s="21">
        <f t="shared" si="11"/>
        <v>158.52574566117349</v>
      </c>
      <c r="H155" s="150">
        <v>0</v>
      </c>
      <c r="I155" s="409">
        <v>1.05</v>
      </c>
      <c r="J155" s="47">
        <f t="shared" si="12"/>
        <v>0</v>
      </c>
      <c r="K155" s="21">
        <f t="shared" si="13"/>
        <v>97.912960555430686</v>
      </c>
    </row>
    <row r="156" spans="1:11" s="22" customFormat="1" x14ac:dyDescent="0.35">
      <c r="A156" s="19">
        <v>144</v>
      </c>
      <c r="B156" s="19" t="s">
        <v>26</v>
      </c>
      <c r="C156" s="20" t="s">
        <v>143</v>
      </c>
      <c r="D156" s="116">
        <v>0</v>
      </c>
      <c r="E156" s="409">
        <v>0</v>
      </c>
      <c r="F156" s="47">
        <f t="shared" si="10"/>
        <v>0</v>
      </c>
      <c r="G156" s="21">
        <f t="shared" si="11"/>
        <v>0</v>
      </c>
      <c r="H156" s="150">
        <v>0</v>
      </c>
      <c r="I156" s="409">
        <v>0</v>
      </c>
      <c r="J156" s="47">
        <f t="shared" si="12"/>
        <v>0</v>
      </c>
      <c r="K156" s="21">
        <f t="shared" si="13"/>
        <v>0</v>
      </c>
    </row>
    <row r="157" spans="1:11" s="22" customFormat="1" x14ac:dyDescent="0.35">
      <c r="A157" s="19">
        <v>145</v>
      </c>
      <c r="B157" s="19" t="s">
        <v>75</v>
      </c>
      <c r="C157" s="20" t="s">
        <v>145</v>
      </c>
      <c r="D157" s="116">
        <v>0</v>
      </c>
      <c r="E157" s="409">
        <v>1.35</v>
      </c>
      <c r="F157" s="47">
        <f t="shared" si="10"/>
        <v>0</v>
      </c>
      <c r="G157" s="21">
        <f t="shared" si="11"/>
        <v>125.88809214269659</v>
      </c>
      <c r="H157" s="150">
        <v>0</v>
      </c>
      <c r="I157" s="409">
        <v>1.35</v>
      </c>
      <c r="J157" s="47">
        <f t="shared" si="12"/>
        <v>0</v>
      </c>
      <c r="K157" s="21">
        <f t="shared" si="13"/>
        <v>125.88809214269659</v>
      </c>
    </row>
    <row r="158" spans="1:11" s="22" customFormat="1" x14ac:dyDescent="0.35">
      <c r="A158" s="19">
        <v>146</v>
      </c>
      <c r="B158" s="19" t="s">
        <v>76</v>
      </c>
      <c r="C158" s="20" t="s">
        <v>146</v>
      </c>
      <c r="D158" s="116">
        <v>0</v>
      </c>
      <c r="E158" s="409">
        <v>2.56</v>
      </c>
      <c r="F158" s="47">
        <f t="shared" si="10"/>
        <v>0</v>
      </c>
      <c r="G158" s="21">
        <f t="shared" si="11"/>
        <v>238.72112287800243</v>
      </c>
      <c r="H158" s="150">
        <v>0</v>
      </c>
      <c r="I158" s="409">
        <v>2.14</v>
      </c>
      <c r="J158" s="47">
        <f t="shared" si="12"/>
        <v>0</v>
      </c>
      <c r="K158" s="21">
        <f t="shared" si="13"/>
        <v>199.55593865583018</v>
      </c>
    </row>
    <row r="159" spans="1:11" s="22" customFormat="1" x14ac:dyDescent="0.35">
      <c r="A159" s="19">
        <v>147</v>
      </c>
      <c r="B159" s="19" t="s">
        <v>77</v>
      </c>
      <c r="C159" s="20" t="s">
        <v>407</v>
      </c>
      <c r="D159" s="116">
        <v>0</v>
      </c>
      <c r="E159" s="409">
        <v>1.6</v>
      </c>
      <c r="F159" s="47">
        <f t="shared" si="10"/>
        <v>0</v>
      </c>
      <c r="G159" s="21">
        <f t="shared" si="11"/>
        <v>149.20070179875151</v>
      </c>
      <c r="H159" s="150">
        <v>0</v>
      </c>
      <c r="I159" s="409">
        <v>1.6</v>
      </c>
      <c r="J159" s="47">
        <f t="shared" si="12"/>
        <v>0</v>
      </c>
      <c r="K159" s="21">
        <f t="shared" si="13"/>
        <v>149.20070179875151</v>
      </c>
    </row>
    <row r="160" spans="1:11" s="22" customFormat="1" x14ac:dyDescent="0.35">
      <c r="A160" s="19">
        <v>148</v>
      </c>
      <c r="B160" s="19" t="s">
        <v>78</v>
      </c>
      <c r="C160" s="20" t="s">
        <v>408</v>
      </c>
      <c r="D160" s="116">
        <v>0</v>
      </c>
      <c r="E160" s="409">
        <v>2.64</v>
      </c>
      <c r="F160" s="47">
        <f t="shared" si="10"/>
        <v>0</v>
      </c>
      <c r="G160" s="21">
        <f t="shared" si="11"/>
        <v>246.18115796794001</v>
      </c>
      <c r="H160" s="150">
        <v>0</v>
      </c>
      <c r="I160" s="409">
        <v>2.64</v>
      </c>
      <c r="J160" s="47">
        <f t="shared" si="12"/>
        <v>0</v>
      </c>
      <c r="K160" s="21">
        <f t="shared" si="13"/>
        <v>246.18115796794001</v>
      </c>
    </row>
    <row r="161" spans="1:11" s="22" customFormat="1" x14ac:dyDescent="0.35">
      <c r="A161" s="19">
        <v>149</v>
      </c>
      <c r="B161" s="19" t="s">
        <v>79</v>
      </c>
      <c r="C161" s="20" t="s">
        <v>409</v>
      </c>
      <c r="D161" s="116">
        <v>971</v>
      </c>
      <c r="E161" s="409">
        <v>1.24</v>
      </c>
      <c r="F161" s="47">
        <f t="shared" si="10"/>
        <v>1204.04</v>
      </c>
      <c r="G161" s="21">
        <f t="shared" si="11"/>
        <v>115.63054389403243</v>
      </c>
      <c r="H161" s="150">
        <v>12563</v>
      </c>
      <c r="I161" s="409">
        <v>1.24</v>
      </c>
      <c r="J161" s="47">
        <f t="shared" si="12"/>
        <v>15578.119999999999</v>
      </c>
      <c r="K161" s="21">
        <f t="shared" si="13"/>
        <v>115.63054389403243</v>
      </c>
    </row>
    <row r="162" spans="1:11" s="22" customFormat="1" x14ac:dyDescent="0.35">
      <c r="A162" s="19">
        <v>150</v>
      </c>
      <c r="B162" s="19" t="s">
        <v>80</v>
      </c>
      <c r="C162" s="20" t="s">
        <v>410</v>
      </c>
      <c r="D162" s="116">
        <v>0</v>
      </c>
      <c r="E162" s="409">
        <v>0.83</v>
      </c>
      <c r="F162" s="47">
        <f t="shared" si="10"/>
        <v>0</v>
      </c>
      <c r="G162" s="21">
        <f t="shared" si="11"/>
        <v>77.397864058102343</v>
      </c>
      <c r="H162" s="150">
        <v>0</v>
      </c>
      <c r="I162" s="409">
        <v>0.72</v>
      </c>
      <c r="J162" s="47">
        <f t="shared" si="12"/>
        <v>0</v>
      </c>
      <c r="K162" s="21">
        <f t="shared" si="13"/>
        <v>67.140315809438178</v>
      </c>
    </row>
    <row r="163" spans="1:11" s="22" customFormat="1" x14ac:dyDescent="0.35">
      <c r="A163" s="19">
        <v>151</v>
      </c>
      <c r="B163" s="19" t="s">
        <v>81</v>
      </c>
      <c r="C163" s="20" t="s">
        <v>411</v>
      </c>
      <c r="D163" s="116">
        <v>1385</v>
      </c>
      <c r="E163" s="409">
        <v>0.92</v>
      </c>
      <c r="F163" s="47">
        <f t="shared" si="10"/>
        <v>1274.2</v>
      </c>
      <c r="G163" s="21">
        <f t="shared" si="11"/>
        <v>85.79040353428212</v>
      </c>
      <c r="H163" s="150">
        <v>12751</v>
      </c>
      <c r="I163" s="409">
        <v>0.92</v>
      </c>
      <c r="J163" s="47">
        <f t="shared" si="12"/>
        <v>11730.92</v>
      </c>
      <c r="K163" s="21">
        <f t="shared" si="13"/>
        <v>85.79040353428212</v>
      </c>
    </row>
    <row r="164" spans="1:11" s="22" customFormat="1" x14ac:dyDescent="0.35">
      <c r="A164" s="19">
        <v>152</v>
      </c>
      <c r="B164" s="19" t="s">
        <v>82</v>
      </c>
      <c r="C164" s="20" t="s">
        <v>412</v>
      </c>
      <c r="D164" s="116">
        <v>0</v>
      </c>
      <c r="E164" s="409">
        <v>0.14000000000000001</v>
      </c>
      <c r="F164" s="47">
        <f t="shared" si="10"/>
        <v>0</v>
      </c>
      <c r="G164" s="21">
        <f t="shared" si="11"/>
        <v>13.05506140739076</v>
      </c>
      <c r="H164" s="150">
        <v>0</v>
      </c>
      <c r="I164" s="409">
        <v>0.12</v>
      </c>
      <c r="J164" s="47">
        <f t="shared" si="12"/>
        <v>0</v>
      </c>
      <c r="K164" s="21">
        <f t="shared" si="13"/>
        <v>11.190052634906364</v>
      </c>
    </row>
    <row r="165" spans="1:11" s="22" customFormat="1" x14ac:dyDescent="0.35">
      <c r="A165" s="19">
        <v>153</v>
      </c>
      <c r="B165" s="19" t="s">
        <v>83</v>
      </c>
      <c r="C165" s="20" t="s">
        <v>417</v>
      </c>
      <c r="D165" s="116">
        <v>0</v>
      </c>
      <c r="E165" s="409">
        <v>3.3600000000000003</v>
      </c>
      <c r="F165" s="47">
        <f t="shared" si="10"/>
        <v>0</v>
      </c>
      <c r="G165" s="21">
        <f t="shared" si="11"/>
        <v>313.32147377737823</v>
      </c>
      <c r="H165" s="150">
        <v>0</v>
      </c>
      <c r="I165" s="409">
        <v>2.88</v>
      </c>
      <c r="J165" s="47">
        <f t="shared" si="12"/>
        <v>0</v>
      </c>
      <c r="K165" s="21">
        <f t="shared" si="13"/>
        <v>268.56126323775271</v>
      </c>
    </row>
    <row r="166" spans="1:11" s="22" customFormat="1" x14ac:dyDescent="0.35">
      <c r="A166" s="19">
        <v>154</v>
      </c>
      <c r="B166" s="19" t="s">
        <v>84</v>
      </c>
      <c r="C166" s="20" t="s">
        <v>415</v>
      </c>
      <c r="D166" s="116">
        <v>285</v>
      </c>
      <c r="E166" s="409">
        <v>0.44</v>
      </c>
      <c r="F166" s="47">
        <f t="shared" si="10"/>
        <v>125.4</v>
      </c>
      <c r="G166" s="21">
        <f t="shared" si="11"/>
        <v>41.030192994656666</v>
      </c>
      <c r="H166" s="150">
        <v>8507</v>
      </c>
      <c r="I166" s="409">
        <v>0.44</v>
      </c>
      <c r="J166" s="47">
        <f t="shared" si="12"/>
        <v>3743.08</v>
      </c>
      <c r="K166" s="21">
        <f t="shared" si="13"/>
        <v>41.030192994656666</v>
      </c>
    </row>
    <row r="167" spans="1:11" s="22" customFormat="1" x14ac:dyDescent="0.35">
      <c r="A167" s="19">
        <v>155</v>
      </c>
      <c r="B167" s="19" t="s">
        <v>85</v>
      </c>
      <c r="C167" s="20" t="s">
        <v>416</v>
      </c>
      <c r="D167" s="116">
        <v>0</v>
      </c>
      <c r="E167" s="409">
        <v>5.28</v>
      </c>
      <c r="F167" s="47">
        <f t="shared" si="10"/>
        <v>0</v>
      </c>
      <c r="G167" s="21">
        <f t="shared" si="11"/>
        <v>492.36231593588002</v>
      </c>
      <c r="H167" s="150">
        <v>0</v>
      </c>
      <c r="I167" s="409">
        <v>5.28</v>
      </c>
      <c r="J167" s="47">
        <f t="shared" si="12"/>
        <v>0</v>
      </c>
      <c r="K167" s="21">
        <f t="shared" si="13"/>
        <v>492.36231593588002</v>
      </c>
    </row>
    <row r="168" spans="1:11" s="22" customFormat="1" x14ac:dyDescent="0.35">
      <c r="A168" s="19">
        <v>156</v>
      </c>
      <c r="B168" s="19" t="s">
        <v>86</v>
      </c>
      <c r="C168" s="20" t="s">
        <v>414</v>
      </c>
      <c r="D168" s="116">
        <v>690</v>
      </c>
      <c r="E168" s="409">
        <v>0.44</v>
      </c>
      <c r="F168" s="47">
        <f t="shared" si="10"/>
        <v>303.60000000000002</v>
      </c>
      <c r="G168" s="21">
        <f t="shared" si="11"/>
        <v>41.030192994656666</v>
      </c>
      <c r="H168" s="150">
        <v>5091</v>
      </c>
      <c r="I168" s="409">
        <v>0.44</v>
      </c>
      <c r="J168" s="47">
        <f t="shared" si="12"/>
        <v>2240.04</v>
      </c>
      <c r="K168" s="21">
        <f t="shared" si="13"/>
        <v>41.030192994656666</v>
      </c>
    </row>
    <row r="169" spans="1:11" s="22" customFormat="1" x14ac:dyDescent="0.35">
      <c r="A169" s="19">
        <v>157</v>
      </c>
      <c r="B169" s="19" t="s">
        <v>87</v>
      </c>
      <c r="C169" s="20" t="s">
        <v>413</v>
      </c>
      <c r="D169" s="116">
        <v>0</v>
      </c>
      <c r="E169" s="409">
        <v>5.28</v>
      </c>
      <c r="F169" s="47">
        <f t="shared" si="10"/>
        <v>0</v>
      </c>
      <c r="G169" s="21">
        <f t="shared" si="11"/>
        <v>492.36231593588002</v>
      </c>
      <c r="H169" s="150">
        <v>0</v>
      </c>
      <c r="I169" s="409">
        <v>5.28</v>
      </c>
      <c r="J169" s="47">
        <f t="shared" si="12"/>
        <v>0</v>
      </c>
      <c r="K169" s="21">
        <f t="shared" si="13"/>
        <v>492.36231593588002</v>
      </c>
    </row>
    <row r="170" spans="1:11" s="22" customFormat="1" x14ac:dyDescent="0.35">
      <c r="A170" s="19">
        <v>158</v>
      </c>
      <c r="B170" s="19" t="s">
        <v>88</v>
      </c>
      <c r="C170" s="20" t="s">
        <v>418</v>
      </c>
      <c r="D170" s="116">
        <v>244</v>
      </c>
      <c r="E170" s="409">
        <v>0.14000000000000001</v>
      </c>
      <c r="F170" s="47">
        <f t="shared" si="10"/>
        <v>34.160000000000004</v>
      </c>
      <c r="G170" s="21">
        <f t="shared" si="11"/>
        <v>13.05506140739076</v>
      </c>
      <c r="H170" s="150">
        <v>5385</v>
      </c>
      <c r="I170" s="409">
        <v>0.12</v>
      </c>
      <c r="J170" s="47">
        <f t="shared" si="12"/>
        <v>646.19999999999993</v>
      </c>
      <c r="K170" s="21">
        <f t="shared" si="13"/>
        <v>11.190052634906364</v>
      </c>
    </row>
    <row r="171" spans="1:11" s="22" customFormat="1" x14ac:dyDescent="0.35">
      <c r="A171" s="19">
        <v>159</v>
      </c>
      <c r="B171" s="19" t="s">
        <v>89</v>
      </c>
      <c r="C171" s="20" t="s">
        <v>419</v>
      </c>
      <c r="D171" s="116">
        <v>0</v>
      </c>
      <c r="E171" s="409">
        <v>3.3600000000000003</v>
      </c>
      <c r="F171" s="47">
        <f t="shared" si="10"/>
        <v>0</v>
      </c>
      <c r="G171" s="21">
        <f t="shared" si="11"/>
        <v>313.32147377737823</v>
      </c>
      <c r="H171" s="150">
        <v>0</v>
      </c>
      <c r="I171" s="409">
        <v>2.88</v>
      </c>
      <c r="J171" s="47">
        <f t="shared" si="12"/>
        <v>0</v>
      </c>
      <c r="K171" s="21">
        <f t="shared" si="13"/>
        <v>268.56126323775271</v>
      </c>
    </row>
    <row r="172" spans="1:11" s="22" customFormat="1" x14ac:dyDescent="0.35">
      <c r="A172" s="19">
        <v>160</v>
      </c>
      <c r="B172" s="19" t="s">
        <v>90</v>
      </c>
      <c r="C172" s="20" t="s">
        <v>420</v>
      </c>
      <c r="D172" s="116">
        <v>9</v>
      </c>
      <c r="E172" s="409">
        <v>0.14000000000000001</v>
      </c>
      <c r="F172" s="47">
        <f t="shared" si="10"/>
        <v>1.2600000000000002</v>
      </c>
      <c r="G172" s="21">
        <f t="shared" si="11"/>
        <v>13.05506140739076</v>
      </c>
      <c r="H172" s="150">
        <v>117</v>
      </c>
      <c r="I172" s="409">
        <v>0.12</v>
      </c>
      <c r="J172" s="47">
        <f t="shared" si="12"/>
        <v>14.04</v>
      </c>
      <c r="K172" s="21">
        <f t="shared" si="13"/>
        <v>11.190052634906364</v>
      </c>
    </row>
    <row r="173" spans="1:11" s="22" customFormat="1" x14ac:dyDescent="0.35">
      <c r="A173" s="19">
        <v>161</v>
      </c>
      <c r="B173" s="19" t="s">
        <v>91</v>
      </c>
      <c r="C173" s="20" t="s">
        <v>421</v>
      </c>
      <c r="D173" s="116">
        <v>0</v>
      </c>
      <c r="E173" s="409">
        <v>3.3600000000000003</v>
      </c>
      <c r="F173" s="47">
        <f t="shared" si="10"/>
        <v>0</v>
      </c>
      <c r="G173" s="21">
        <f t="shared" si="11"/>
        <v>313.32147377737823</v>
      </c>
      <c r="H173" s="150">
        <v>0</v>
      </c>
      <c r="I173" s="409">
        <v>2.88</v>
      </c>
      <c r="J173" s="47">
        <f t="shared" si="12"/>
        <v>0</v>
      </c>
      <c r="K173" s="21">
        <f t="shared" si="13"/>
        <v>268.56126323775271</v>
      </c>
    </row>
    <row r="174" spans="1:11" s="22" customFormat="1" x14ac:dyDescent="0.35">
      <c r="A174" s="19">
        <v>162</v>
      </c>
      <c r="B174" s="19" t="s">
        <v>92</v>
      </c>
      <c r="C174" s="20" t="s">
        <v>422</v>
      </c>
      <c r="D174" s="116">
        <v>65</v>
      </c>
      <c r="E174" s="409">
        <v>0.14000000000000001</v>
      </c>
      <c r="F174" s="47">
        <f t="shared" si="10"/>
        <v>9.1000000000000014</v>
      </c>
      <c r="G174" s="21">
        <f t="shared" si="11"/>
        <v>13.05506140739076</v>
      </c>
      <c r="H174" s="150">
        <v>1050</v>
      </c>
      <c r="I174" s="409">
        <v>0.12</v>
      </c>
      <c r="J174" s="47">
        <f t="shared" si="12"/>
        <v>126</v>
      </c>
      <c r="K174" s="21">
        <f t="shared" si="13"/>
        <v>11.190052634906364</v>
      </c>
    </row>
    <row r="175" spans="1:11" s="22" customFormat="1" x14ac:dyDescent="0.35">
      <c r="A175" s="19">
        <v>163</v>
      </c>
      <c r="B175" s="19" t="s">
        <v>93</v>
      </c>
      <c r="C175" s="20" t="s">
        <v>423</v>
      </c>
      <c r="D175" s="116">
        <v>0</v>
      </c>
      <c r="E175" s="409">
        <v>0.14000000000000001</v>
      </c>
      <c r="F175" s="47">
        <f t="shared" si="10"/>
        <v>0</v>
      </c>
      <c r="G175" s="21">
        <f t="shared" si="11"/>
        <v>13.05506140739076</v>
      </c>
      <c r="H175" s="150">
        <v>29874</v>
      </c>
      <c r="I175" s="409">
        <v>0.12</v>
      </c>
      <c r="J175" s="47">
        <f t="shared" si="12"/>
        <v>3584.8799999999997</v>
      </c>
      <c r="K175" s="21">
        <f t="shared" si="13"/>
        <v>11.190052634906364</v>
      </c>
    </row>
    <row r="176" spans="1:11" s="22" customFormat="1" x14ac:dyDescent="0.35">
      <c r="A176" s="19">
        <v>164</v>
      </c>
      <c r="B176" s="19" t="s">
        <v>94</v>
      </c>
      <c r="C176" s="20" t="s">
        <v>424</v>
      </c>
      <c r="D176" s="116">
        <v>0</v>
      </c>
      <c r="E176" s="409">
        <v>3.3600000000000003</v>
      </c>
      <c r="F176" s="47">
        <f t="shared" si="10"/>
        <v>0</v>
      </c>
      <c r="G176" s="21">
        <f t="shared" si="11"/>
        <v>313.32147377737823</v>
      </c>
      <c r="H176" s="150">
        <v>1196</v>
      </c>
      <c r="I176" s="409">
        <v>2.88</v>
      </c>
      <c r="J176" s="47">
        <f t="shared" si="12"/>
        <v>3444.48</v>
      </c>
      <c r="K176" s="21">
        <f t="shared" si="13"/>
        <v>268.56126323775271</v>
      </c>
    </row>
    <row r="177" spans="1:11" s="22" customFormat="1" x14ac:dyDescent="0.35">
      <c r="A177" s="19">
        <v>165</v>
      </c>
      <c r="B177" s="19" t="s">
        <v>95</v>
      </c>
      <c r="C177" s="20" t="s">
        <v>425</v>
      </c>
      <c r="D177" s="116">
        <v>0</v>
      </c>
      <c r="E177" s="409">
        <v>0.14000000000000001</v>
      </c>
      <c r="F177" s="47">
        <f t="shared" si="10"/>
        <v>0</v>
      </c>
      <c r="G177" s="21">
        <f t="shared" si="11"/>
        <v>13.05506140739076</v>
      </c>
      <c r="H177" s="150">
        <v>108</v>
      </c>
      <c r="I177" s="409">
        <v>0.12</v>
      </c>
      <c r="J177" s="47">
        <f t="shared" si="12"/>
        <v>12.959999999999999</v>
      </c>
      <c r="K177" s="21">
        <f t="shared" si="13"/>
        <v>11.190052634906364</v>
      </c>
    </row>
    <row r="178" spans="1:11" s="22" customFormat="1" x14ac:dyDescent="0.35">
      <c r="A178" s="19">
        <v>166</v>
      </c>
      <c r="B178" s="19" t="s">
        <v>96</v>
      </c>
      <c r="C178" s="20" t="s">
        <v>426</v>
      </c>
      <c r="D178" s="116">
        <v>0</v>
      </c>
      <c r="E178" s="409">
        <v>1.29</v>
      </c>
      <c r="F178" s="47">
        <f t="shared" si="10"/>
        <v>0</v>
      </c>
      <c r="G178" s="21">
        <f t="shared" si="11"/>
        <v>120.29306582524342</v>
      </c>
      <c r="H178" s="150">
        <v>0</v>
      </c>
      <c r="I178" s="409">
        <v>1.1299999999999999</v>
      </c>
      <c r="J178" s="47">
        <f t="shared" si="12"/>
        <v>0</v>
      </c>
      <c r="K178" s="21">
        <f t="shared" si="13"/>
        <v>105.37299564536825</v>
      </c>
    </row>
    <row r="179" spans="1:11" s="22" customFormat="1" x14ac:dyDescent="0.35">
      <c r="A179" s="19">
        <v>167</v>
      </c>
      <c r="B179" s="19" t="s">
        <v>35</v>
      </c>
      <c r="C179" s="20" t="s">
        <v>37</v>
      </c>
      <c r="D179" s="116">
        <v>0</v>
      </c>
      <c r="E179" s="409">
        <v>0</v>
      </c>
      <c r="F179" s="47">
        <f t="shared" si="10"/>
        <v>0</v>
      </c>
      <c r="G179" s="21">
        <f t="shared" si="11"/>
        <v>0</v>
      </c>
      <c r="H179" s="150">
        <v>0</v>
      </c>
      <c r="I179" s="409">
        <v>0</v>
      </c>
      <c r="J179" s="47">
        <f t="shared" si="12"/>
        <v>0</v>
      </c>
      <c r="K179" s="21">
        <f t="shared" si="13"/>
        <v>0</v>
      </c>
    </row>
    <row r="180" spans="1:11" s="22" customFormat="1" x14ac:dyDescent="0.35">
      <c r="A180" s="19">
        <v>168</v>
      </c>
      <c r="B180" s="19" t="s">
        <v>97</v>
      </c>
      <c r="C180" s="20" t="s">
        <v>427</v>
      </c>
      <c r="D180" s="116">
        <v>0</v>
      </c>
      <c r="E180" s="409">
        <v>0</v>
      </c>
      <c r="F180" s="47">
        <f t="shared" si="10"/>
        <v>0</v>
      </c>
      <c r="G180" s="21">
        <f t="shared" si="11"/>
        <v>0</v>
      </c>
      <c r="H180" s="150">
        <v>0</v>
      </c>
      <c r="I180" s="409">
        <v>0</v>
      </c>
      <c r="J180" s="47">
        <f t="shared" si="12"/>
        <v>0</v>
      </c>
      <c r="K180" s="21">
        <f t="shared" si="13"/>
        <v>0</v>
      </c>
    </row>
    <row r="181" spans="1:11" s="22" customFormat="1" x14ac:dyDescent="0.35">
      <c r="A181" s="19">
        <v>169</v>
      </c>
      <c r="B181" s="19" t="s">
        <v>98</v>
      </c>
      <c r="C181" s="20" t="s">
        <v>428</v>
      </c>
      <c r="D181" s="116">
        <v>0</v>
      </c>
      <c r="E181" s="409">
        <v>0.22</v>
      </c>
      <c r="F181" s="47">
        <f t="shared" si="10"/>
        <v>0</v>
      </c>
      <c r="G181" s="21">
        <f t="shared" si="11"/>
        <v>20.515096497328333</v>
      </c>
      <c r="H181" s="150">
        <v>0</v>
      </c>
      <c r="I181" s="409">
        <v>0.22</v>
      </c>
      <c r="J181" s="47">
        <f t="shared" si="12"/>
        <v>0</v>
      </c>
      <c r="K181" s="21">
        <f t="shared" si="13"/>
        <v>20.515096497328333</v>
      </c>
    </row>
    <row r="182" spans="1:11" s="22" customFormat="1" x14ac:dyDescent="0.35">
      <c r="A182" s="19">
        <v>170</v>
      </c>
      <c r="B182" s="19" t="s">
        <v>99</v>
      </c>
      <c r="C182" s="20" t="s">
        <v>429</v>
      </c>
      <c r="D182" s="116">
        <v>0</v>
      </c>
      <c r="E182" s="409">
        <v>4.4000000000000004</v>
      </c>
      <c r="F182" s="47">
        <f t="shared" si="10"/>
        <v>0</v>
      </c>
      <c r="G182" s="21">
        <f t="shared" si="11"/>
        <v>410.3019299465667</v>
      </c>
      <c r="H182" s="150">
        <v>0</v>
      </c>
      <c r="I182" s="409">
        <v>4.4000000000000004</v>
      </c>
      <c r="J182" s="47">
        <f t="shared" si="12"/>
        <v>0</v>
      </c>
      <c r="K182" s="21">
        <f t="shared" si="13"/>
        <v>410.3019299465667</v>
      </c>
    </row>
    <row r="183" spans="1:11" s="22" customFormat="1" x14ac:dyDescent="0.35">
      <c r="A183" s="19">
        <v>171</v>
      </c>
      <c r="B183" s="19" t="s">
        <v>100</v>
      </c>
      <c r="C183" s="20" t="s">
        <v>147</v>
      </c>
      <c r="D183" s="116">
        <v>0</v>
      </c>
      <c r="E183" s="409">
        <v>1.02</v>
      </c>
      <c r="F183" s="47">
        <f t="shared" si="10"/>
        <v>0</v>
      </c>
      <c r="G183" s="21">
        <f t="shared" si="11"/>
        <v>95.115447396704099</v>
      </c>
      <c r="H183" s="150">
        <v>3</v>
      </c>
      <c r="I183" s="409">
        <v>0.94</v>
      </c>
      <c r="J183" s="47">
        <f t="shared" si="12"/>
        <v>2.82</v>
      </c>
      <c r="K183" s="21">
        <f t="shared" si="13"/>
        <v>87.655412306766507</v>
      </c>
    </row>
    <row r="184" spans="1:11" s="22" customFormat="1" x14ac:dyDescent="0.35">
      <c r="A184" s="19">
        <v>172</v>
      </c>
      <c r="B184" s="19" t="s">
        <v>101</v>
      </c>
      <c r="C184" s="20" t="s">
        <v>148</v>
      </c>
      <c r="D184" s="116">
        <v>0</v>
      </c>
      <c r="E184" s="409">
        <v>0.75</v>
      </c>
      <c r="F184" s="47">
        <f t="shared" si="10"/>
        <v>0</v>
      </c>
      <c r="G184" s="21">
        <f t="shared" si="11"/>
        <v>69.93782896816478</v>
      </c>
      <c r="H184" s="150">
        <v>0</v>
      </c>
      <c r="I184" s="409">
        <v>0.37</v>
      </c>
      <c r="J184" s="47">
        <f t="shared" si="12"/>
        <v>0</v>
      </c>
      <c r="K184" s="21">
        <f t="shared" si="13"/>
        <v>34.50266229096129</v>
      </c>
    </row>
    <row r="185" spans="1:11" s="22" customFormat="1" x14ac:dyDescent="0.35">
      <c r="A185" s="19">
        <v>173</v>
      </c>
      <c r="B185" s="19" t="s">
        <v>102</v>
      </c>
      <c r="C185" s="20" t="s">
        <v>430</v>
      </c>
      <c r="D185" s="116">
        <v>0</v>
      </c>
      <c r="E185" s="409">
        <v>0.75</v>
      </c>
      <c r="F185" s="47">
        <f t="shared" si="10"/>
        <v>0</v>
      </c>
      <c r="G185" s="21">
        <f t="shared" si="11"/>
        <v>69.93782896816478</v>
      </c>
      <c r="H185" s="150">
        <v>0</v>
      </c>
      <c r="I185" s="409">
        <v>0.37</v>
      </c>
      <c r="J185" s="47">
        <f t="shared" si="12"/>
        <v>0</v>
      </c>
      <c r="K185" s="21">
        <f t="shared" si="13"/>
        <v>34.50266229096129</v>
      </c>
    </row>
    <row r="186" spans="1:11" s="22" customFormat="1" x14ac:dyDescent="0.35">
      <c r="A186" s="19">
        <v>174</v>
      </c>
      <c r="B186" s="19" t="s">
        <v>103</v>
      </c>
      <c r="C186" s="20" t="s">
        <v>431</v>
      </c>
      <c r="D186" s="116">
        <v>0</v>
      </c>
      <c r="E186" s="409">
        <v>3.96</v>
      </c>
      <c r="F186" s="47">
        <f t="shared" si="10"/>
        <v>0</v>
      </c>
      <c r="G186" s="21">
        <f t="shared" si="11"/>
        <v>369.27173695190999</v>
      </c>
      <c r="H186" s="150">
        <v>1077</v>
      </c>
      <c r="I186" s="409">
        <v>3.96</v>
      </c>
      <c r="J186" s="47">
        <f t="shared" si="12"/>
        <v>4264.92</v>
      </c>
      <c r="K186" s="21">
        <f t="shared" si="13"/>
        <v>369.27173695190999</v>
      </c>
    </row>
    <row r="187" spans="1:11" s="22" customFormat="1" x14ac:dyDescent="0.35">
      <c r="A187" s="19">
        <v>175</v>
      </c>
      <c r="B187" s="19" t="s">
        <v>104</v>
      </c>
      <c r="C187" s="20" t="s">
        <v>432</v>
      </c>
      <c r="D187" s="116">
        <v>0</v>
      </c>
      <c r="E187" s="409">
        <v>3.59</v>
      </c>
      <c r="F187" s="47">
        <f t="shared" si="10"/>
        <v>0</v>
      </c>
      <c r="G187" s="21">
        <f t="shared" ref="G187:G196" si="18">E187*$F$12</f>
        <v>334.76907466094872</v>
      </c>
      <c r="H187" s="150">
        <v>1</v>
      </c>
      <c r="I187" s="409">
        <v>3.59</v>
      </c>
      <c r="J187" s="47">
        <f t="shared" si="12"/>
        <v>3.59</v>
      </c>
      <c r="K187" s="21">
        <f t="shared" ref="K187:K196" si="19">I187*$F$12</f>
        <v>334.76907466094872</v>
      </c>
    </row>
    <row r="188" spans="1:11" s="22" customFormat="1" x14ac:dyDescent="0.35">
      <c r="A188" s="19">
        <v>176</v>
      </c>
      <c r="B188" s="19" t="s">
        <v>36</v>
      </c>
      <c r="C188" s="20" t="s">
        <v>38</v>
      </c>
      <c r="D188" s="116">
        <v>0</v>
      </c>
      <c r="E188" s="409">
        <v>0</v>
      </c>
      <c r="F188" s="47">
        <f t="shared" ref="F188:F196" si="20">D188*E188</f>
        <v>0</v>
      </c>
      <c r="G188" s="21">
        <f t="shared" si="18"/>
        <v>0</v>
      </c>
      <c r="H188" s="150">
        <v>0</v>
      </c>
      <c r="I188" s="409">
        <v>0</v>
      </c>
      <c r="J188" s="47">
        <f t="shared" ref="J188:J196" si="21">H188*I188</f>
        <v>0</v>
      </c>
      <c r="K188" s="21">
        <f t="shared" si="19"/>
        <v>0</v>
      </c>
    </row>
    <row r="189" spans="1:11" s="22" customFormat="1" x14ac:dyDescent="0.35">
      <c r="A189" s="19">
        <v>177</v>
      </c>
      <c r="B189" s="19" t="s">
        <v>105</v>
      </c>
      <c r="C189" s="20" t="s">
        <v>433</v>
      </c>
      <c r="D189" s="116">
        <v>0</v>
      </c>
      <c r="E189" s="409">
        <v>0.28999999999999998</v>
      </c>
      <c r="F189" s="47">
        <f t="shared" si="20"/>
        <v>0</v>
      </c>
      <c r="G189" s="21">
        <f t="shared" si="18"/>
        <v>27.042627201023709</v>
      </c>
      <c r="H189" s="150">
        <v>0</v>
      </c>
      <c r="I189" s="409">
        <v>0.28999999999999998</v>
      </c>
      <c r="J189" s="47">
        <f t="shared" si="21"/>
        <v>0</v>
      </c>
      <c r="K189" s="21">
        <f t="shared" si="19"/>
        <v>27.042627201023709</v>
      </c>
    </row>
    <row r="190" spans="1:11" s="22" customFormat="1" x14ac:dyDescent="0.35">
      <c r="A190" s="19">
        <v>178</v>
      </c>
      <c r="B190" s="19" t="s">
        <v>106</v>
      </c>
      <c r="C190" s="20" t="s">
        <v>149</v>
      </c>
      <c r="D190" s="116">
        <v>0</v>
      </c>
      <c r="E190" s="409">
        <v>3.07</v>
      </c>
      <c r="F190" s="47">
        <f t="shared" si="20"/>
        <v>0</v>
      </c>
      <c r="G190" s="21">
        <f t="shared" si="18"/>
        <v>286.27884657635445</v>
      </c>
      <c r="H190" s="150">
        <v>0</v>
      </c>
      <c r="I190" s="409">
        <v>3.05</v>
      </c>
      <c r="J190" s="47">
        <f t="shared" si="21"/>
        <v>0</v>
      </c>
      <c r="K190" s="21">
        <f t="shared" si="19"/>
        <v>284.41383780387008</v>
      </c>
    </row>
    <row r="191" spans="1:11" s="22" customFormat="1" ht="29" x14ac:dyDescent="0.35">
      <c r="A191" s="19">
        <v>179</v>
      </c>
      <c r="B191" s="19" t="s">
        <v>27</v>
      </c>
      <c r="C191" s="20" t="s">
        <v>30</v>
      </c>
      <c r="D191" s="116">
        <v>0</v>
      </c>
      <c r="E191" s="409">
        <v>0</v>
      </c>
      <c r="F191" s="47">
        <f t="shared" si="20"/>
        <v>0</v>
      </c>
      <c r="G191" s="21">
        <f t="shared" si="18"/>
        <v>0</v>
      </c>
      <c r="H191" s="150">
        <v>0</v>
      </c>
      <c r="I191" s="409">
        <v>0</v>
      </c>
      <c r="J191" s="47">
        <f t="shared" si="21"/>
        <v>0</v>
      </c>
      <c r="K191" s="21">
        <f t="shared" si="19"/>
        <v>0</v>
      </c>
    </row>
    <row r="192" spans="1:11" s="22" customFormat="1" x14ac:dyDescent="0.35">
      <c r="A192" s="19">
        <v>180</v>
      </c>
      <c r="B192" s="19" t="s">
        <v>107</v>
      </c>
      <c r="C192" s="20" t="s">
        <v>150</v>
      </c>
      <c r="D192" s="116">
        <v>0</v>
      </c>
      <c r="E192" s="409">
        <v>0.59</v>
      </c>
      <c r="F192" s="47">
        <f t="shared" si="20"/>
        <v>0</v>
      </c>
      <c r="G192" s="21">
        <f t="shared" si="18"/>
        <v>55.017758788289619</v>
      </c>
      <c r="H192" s="150">
        <v>0</v>
      </c>
      <c r="I192" s="409">
        <v>0.55000000000000004</v>
      </c>
      <c r="J192" s="47">
        <f t="shared" si="21"/>
        <v>0</v>
      </c>
      <c r="K192" s="21">
        <f t="shared" si="19"/>
        <v>51.287741243320838</v>
      </c>
    </row>
    <row r="193" spans="1:11" s="22" customFormat="1" x14ac:dyDescent="0.35">
      <c r="A193" s="19">
        <v>181</v>
      </c>
      <c r="B193" s="19" t="s">
        <v>28</v>
      </c>
      <c r="C193" s="20" t="s">
        <v>31</v>
      </c>
      <c r="D193" s="116">
        <v>0</v>
      </c>
      <c r="E193" s="409">
        <v>0</v>
      </c>
      <c r="F193" s="47">
        <f t="shared" si="20"/>
        <v>0</v>
      </c>
      <c r="G193" s="21">
        <f t="shared" si="18"/>
        <v>0</v>
      </c>
      <c r="H193" s="150">
        <v>0</v>
      </c>
      <c r="I193" s="409">
        <v>0</v>
      </c>
      <c r="J193" s="47">
        <f t="shared" si="21"/>
        <v>0</v>
      </c>
      <c r="K193" s="21">
        <f t="shared" si="19"/>
        <v>0</v>
      </c>
    </row>
    <row r="194" spans="1:11" s="22" customFormat="1" x14ac:dyDescent="0.35">
      <c r="A194" s="19">
        <v>182</v>
      </c>
      <c r="B194" s="19" t="s">
        <v>108</v>
      </c>
      <c r="C194" s="20" t="s">
        <v>434</v>
      </c>
      <c r="D194" s="116">
        <v>18</v>
      </c>
      <c r="E194" s="409">
        <v>0.64</v>
      </c>
      <c r="F194" s="47">
        <f t="shared" si="20"/>
        <v>11.52</v>
      </c>
      <c r="G194" s="21">
        <f t="shared" si="18"/>
        <v>59.680280719500608</v>
      </c>
      <c r="H194" s="150">
        <v>669</v>
      </c>
      <c r="I194" s="409">
        <v>0.6</v>
      </c>
      <c r="J194" s="47">
        <f t="shared" si="21"/>
        <v>401.4</v>
      </c>
      <c r="K194" s="21">
        <f t="shared" si="19"/>
        <v>55.95026317453182</v>
      </c>
    </row>
    <row r="195" spans="1:11" s="22" customFormat="1" x14ac:dyDescent="0.35">
      <c r="A195" s="19">
        <v>183</v>
      </c>
      <c r="B195" s="19" t="s">
        <v>109</v>
      </c>
      <c r="C195" s="20" t="s">
        <v>151</v>
      </c>
      <c r="D195" s="116">
        <v>3435</v>
      </c>
      <c r="E195" s="409">
        <v>0.65000000000000013</v>
      </c>
      <c r="F195" s="47">
        <f t="shared" si="20"/>
        <v>2232.7500000000005</v>
      </c>
      <c r="G195" s="21">
        <f t="shared" si="18"/>
        <v>60.612785105742816</v>
      </c>
      <c r="H195" s="150">
        <v>14772</v>
      </c>
      <c r="I195" s="409">
        <v>0.59999999999999987</v>
      </c>
      <c r="J195" s="47">
        <f t="shared" si="21"/>
        <v>8863.1999999999989</v>
      </c>
      <c r="K195" s="21">
        <f t="shared" si="19"/>
        <v>55.950263174531806</v>
      </c>
    </row>
    <row r="196" spans="1:11" s="22" customFormat="1" x14ac:dyDescent="0.35">
      <c r="A196" s="19">
        <v>184</v>
      </c>
      <c r="B196" s="19" t="s">
        <v>29</v>
      </c>
      <c r="C196" s="20" t="s">
        <v>32</v>
      </c>
      <c r="D196" s="116">
        <v>0</v>
      </c>
      <c r="E196" s="409">
        <v>0</v>
      </c>
      <c r="F196" s="47">
        <f t="shared" si="20"/>
        <v>0</v>
      </c>
      <c r="G196" s="21">
        <f t="shared" si="18"/>
        <v>0</v>
      </c>
      <c r="H196" s="150">
        <v>0</v>
      </c>
      <c r="I196" s="409">
        <v>0</v>
      </c>
      <c r="J196" s="47">
        <f t="shared" si="21"/>
        <v>0</v>
      </c>
      <c r="K196" s="21">
        <f t="shared" si="19"/>
        <v>0</v>
      </c>
    </row>
    <row r="197" spans="1:11" x14ac:dyDescent="0.35">
      <c r="A197" s="19">
        <v>185</v>
      </c>
      <c r="D197" s="9">
        <f>SUM(D18:D196)</f>
        <v>36616</v>
      </c>
      <c r="E197" s="13"/>
      <c r="F197" s="9">
        <f>SUM(F18:F196)</f>
        <v>36135.040000000001</v>
      </c>
      <c r="H197" s="9">
        <f>SUM(H18:H196)</f>
        <v>229211</v>
      </c>
      <c r="J197" s="9">
        <f>SUM(J18:J196)</f>
        <v>350327.89999999997</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D40" sqref="D40"/>
    </sheetView>
  </sheetViews>
  <sheetFormatPr defaultColWidth="9.08984375" defaultRowHeight="14.5" x14ac:dyDescent="0.35"/>
  <cols>
    <col min="2" max="2" width="16.54296875" customWidth="1"/>
    <col min="3" max="3" width="40.6328125" customWidth="1"/>
    <col min="4" max="4" width="26.6328125" style="100" customWidth="1"/>
    <col min="5" max="5" width="3" customWidth="1"/>
    <col min="6" max="6" width="9.08984375" customWidth="1"/>
    <col min="7" max="7" width="33.36328125" style="48" customWidth="1"/>
    <col min="8" max="8" width="30.36328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19" t="str">
        <f>'As-Filed Schedule 1'!C5</f>
        <v>Diversus Health</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86" t="s">
        <v>868</v>
      </c>
      <c r="C9" s="486"/>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82" t="s">
        <v>870</v>
      </c>
      <c r="B11" s="483"/>
      <c r="C11" s="483"/>
      <c r="D11" s="484"/>
      <c r="G11" s="128"/>
      <c r="H11" s="128"/>
      <c r="I11" s="128"/>
      <c r="J11" s="128"/>
      <c r="K11" s="128"/>
      <c r="L11" s="128"/>
      <c r="M11" s="128"/>
    </row>
    <row r="12" spans="1:13" s="22" customFormat="1" x14ac:dyDescent="0.35">
      <c r="A12" s="155">
        <v>1</v>
      </c>
      <c r="B12" s="473" t="s">
        <v>871</v>
      </c>
      <c r="C12" s="475"/>
      <c r="D12" s="157">
        <v>27060379</v>
      </c>
      <c r="G12" s="140"/>
    </row>
    <row r="13" spans="1:13" s="22" customFormat="1" x14ac:dyDescent="0.35">
      <c r="A13" s="155">
        <v>2</v>
      </c>
      <c r="B13" s="473" t="s">
        <v>872</v>
      </c>
      <c r="C13" s="475"/>
      <c r="D13" s="157">
        <v>114759</v>
      </c>
      <c r="G13" s="140"/>
    </row>
    <row r="14" spans="1:13" s="22" customFormat="1" x14ac:dyDescent="0.35">
      <c r="A14" s="155">
        <v>3</v>
      </c>
      <c r="B14" s="173" t="s">
        <v>873</v>
      </c>
      <c r="C14" s="168"/>
      <c r="D14" s="157">
        <v>642972</v>
      </c>
      <c r="G14" s="140"/>
    </row>
    <row r="15" spans="1:13" s="22" customFormat="1" x14ac:dyDescent="0.35">
      <c r="A15" s="155">
        <v>4</v>
      </c>
      <c r="B15" s="173" t="s">
        <v>874</v>
      </c>
      <c r="C15" s="168"/>
      <c r="D15" s="157">
        <v>862929</v>
      </c>
      <c r="G15" s="140"/>
    </row>
    <row r="16" spans="1:13" s="22" customFormat="1" x14ac:dyDescent="0.35">
      <c r="A16" s="155">
        <v>5</v>
      </c>
      <c r="B16" s="173" t="s">
        <v>875</v>
      </c>
      <c r="C16" s="168"/>
      <c r="D16" s="157">
        <v>161632</v>
      </c>
      <c r="G16" s="140"/>
    </row>
    <row r="17" spans="1:7" s="22" customFormat="1" x14ac:dyDescent="0.35">
      <c r="A17" s="155">
        <v>6</v>
      </c>
      <c r="B17" s="173" t="s">
        <v>876</v>
      </c>
      <c r="C17" s="168"/>
      <c r="D17" s="157">
        <v>248058.26</v>
      </c>
      <c r="G17" s="140"/>
    </row>
    <row r="18" spans="1:7" s="22" customFormat="1" x14ac:dyDescent="0.35">
      <c r="A18" s="155">
        <v>7</v>
      </c>
      <c r="B18" s="473" t="s">
        <v>877</v>
      </c>
      <c r="C18" s="475"/>
      <c r="D18" s="157"/>
      <c r="G18" s="140"/>
    </row>
    <row r="19" spans="1:7" s="22" customFormat="1" x14ac:dyDescent="0.35">
      <c r="A19" s="155">
        <v>8</v>
      </c>
      <c r="B19" s="479" t="s">
        <v>878</v>
      </c>
      <c r="C19" s="481"/>
      <c r="D19" s="160">
        <f>SUM(D12:D18)</f>
        <v>29090729.260000002</v>
      </c>
      <c r="G19" s="140"/>
    </row>
    <row r="20" spans="1:7" s="22" customFormat="1" x14ac:dyDescent="0.35">
      <c r="A20" s="161"/>
      <c r="B20" s="162"/>
      <c r="C20" s="162"/>
      <c r="D20" s="164"/>
      <c r="G20" s="140"/>
    </row>
    <row r="21" spans="1:7" s="22" customFormat="1" x14ac:dyDescent="0.35">
      <c r="A21" s="482" t="s">
        <v>879</v>
      </c>
      <c r="B21" s="483"/>
      <c r="C21" s="483"/>
      <c r="D21" s="484"/>
      <c r="E21" s="140"/>
      <c r="F21" s="140"/>
      <c r="G21" s="140"/>
    </row>
    <row r="22" spans="1:7" s="22" customFormat="1" x14ac:dyDescent="0.35">
      <c r="A22" s="155">
        <v>9</v>
      </c>
      <c r="B22" s="473" t="s">
        <v>880</v>
      </c>
      <c r="C22" s="475"/>
      <c r="D22" s="157">
        <v>1630604.34</v>
      </c>
      <c r="E22" s="140"/>
      <c r="F22" s="140"/>
      <c r="G22" s="140"/>
    </row>
    <row r="23" spans="1:7" s="22" customFormat="1" x14ac:dyDescent="0.35">
      <c r="A23" s="155">
        <v>10</v>
      </c>
      <c r="B23" s="173" t="s">
        <v>881</v>
      </c>
      <c r="C23" s="168"/>
      <c r="D23" s="157">
        <v>4437722.24</v>
      </c>
      <c r="E23" s="140"/>
      <c r="F23" s="140"/>
      <c r="G23" s="140"/>
    </row>
    <row r="24" spans="1:7" s="22" customFormat="1" x14ac:dyDescent="0.35">
      <c r="A24" s="155">
        <v>11</v>
      </c>
      <c r="B24" s="173" t="s">
        <v>882</v>
      </c>
      <c r="C24" s="168"/>
      <c r="D24" s="157">
        <v>2114747.7400000002</v>
      </c>
      <c r="E24" s="140"/>
      <c r="F24" s="140"/>
      <c r="G24" s="140"/>
    </row>
    <row r="25" spans="1:7" s="22" customFormat="1" x14ac:dyDescent="0.35">
      <c r="A25" s="155">
        <v>12</v>
      </c>
      <c r="B25" s="173" t="s">
        <v>883</v>
      </c>
      <c r="C25" s="168"/>
      <c r="D25" s="157">
        <v>4021</v>
      </c>
      <c r="E25" s="140"/>
      <c r="F25" s="140"/>
      <c r="G25" s="140"/>
    </row>
    <row r="26" spans="1:7" s="22" customFormat="1" x14ac:dyDescent="0.35">
      <c r="A26" s="155">
        <v>13</v>
      </c>
      <c r="B26" s="173" t="s">
        <v>884</v>
      </c>
      <c r="C26" s="168"/>
      <c r="D26" s="157">
        <v>38487.270000000004</v>
      </c>
      <c r="E26" s="140"/>
      <c r="F26" s="140"/>
      <c r="G26" s="140"/>
    </row>
    <row r="27" spans="1:7" s="22" customFormat="1" x14ac:dyDescent="0.35">
      <c r="A27" s="155">
        <v>14</v>
      </c>
      <c r="B27" s="479" t="s">
        <v>885</v>
      </c>
      <c r="C27" s="481"/>
      <c r="D27" s="160">
        <f>SUM(D22:D26)</f>
        <v>8225582.5899999999</v>
      </c>
      <c r="E27" s="140"/>
      <c r="F27" s="140"/>
      <c r="G27" s="140"/>
    </row>
    <row r="28" spans="1:7" s="22" customFormat="1" x14ac:dyDescent="0.35">
      <c r="A28" s="161"/>
      <c r="B28" s="162"/>
      <c r="C28" s="162"/>
      <c r="D28" s="164"/>
      <c r="F28" s="140"/>
      <c r="G28" s="140"/>
    </row>
    <row r="29" spans="1:7" s="22" customFormat="1" x14ac:dyDescent="0.35">
      <c r="A29" s="482" t="s">
        <v>886</v>
      </c>
      <c r="B29" s="483"/>
      <c r="C29" s="483"/>
      <c r="D29" s="484"/>
      <c r="F29" s="140"/>
      <c r="G29" s="140"/>
    </row>
    <row r="30" spans="1:7" s="22" customFormat="1" x14ac:dyDescent="0.35">
      <c r="A30" s="155">
        <v>15</v>
      </c>
      <c r="B30" s="473" t="s">
        <v>887</v>
      </c>
      <c r="C30" s="475"/>
      <c r="D30" s="157"/>
      <c r="G30" s="140"/>
    </row>
    <row r="31" spans="1:7" s="22" customFormat="1" x14ac:dyDescent="0.35">
      <c r="A31" s="155">
        <v>16</v>
      </c>
      <c r="B31" s="173" t="s">
        <v>888</v>
      </c>
      <c r="C31" s="168"/>
      <c r="D31" s="157"/>
      <c r="G31" s="140"/>
    </row>
    <row r="32" spans="1:7" s="22" customFormat="1" x14ac:dyDescent="0.35">
      <c r="A32" s="155">
        <v>17</v>
      </c>
      <c r="B32" s="173" t="s">
        <v>889</v>
      </c>
      <c r="C32" s="168"/>
      <c r="D32" s="157">
        <v>326772</v>
      </c>
      <c r="G32" s="140"/>
    </row>
    <row r="33" spans="1:7" s="22" customFormat="1" x14ac:dyDescent="0.35">
      <c r="A33" s="155">
        <v>18</v>
      </c>
      <c r="B33" s="173" t="s">
        <v>890</v>
      </c>
      <c r="C33" s="168"/>
      <c r="D33" s="157"/>
      <c r="G33" s="140"/>
    </row>
    <row r="34" spans="1:7" s="22" customFormat="1" x14ac:dyDescent="0.35">
      <c r="A34" s="155">
        <v>19</v>
      </c>
      <c r="B34" s="173" t="s">
        <v>891</v>
      </c>
      <c r="C34" s="168"/>
      <c r="D34" s="157">
        <v>10100</v>
      </c>
      <c r="G34" s="140"/>
    </row>
    <row r="35" spans="1:7" s="22" customFormat="1" x14ac:dyDescent="0.35">
      <c r="A35" s="155">
        <v>20</v>
      </c>
      <c r="B35" s="479" t="s">
        <v>892</v>
      </c>
      <c r="C35" s="481"/>
      <c r="D35" s="160">
        <f>SUM(D30:D34)</f>
        <v>336872</v>
      </c>
      <c r="G35" s="140"/>
    </row>
    <row r="36" spans="1:7" s="22" customFormat="1" x14ac:dyDescent="0.35">
      <c r="A36" s="161"/>
      <c r="B36" s="162"/>
      <c r="C36" s="162"/>
      <c r="D36" s="164"/>
      <c r="G36" s="140"/>
    </row>
    <row r="37" spans="1:7" s="22" customFormat="1" x14ac:dyDescent="0.35">
      <c r="A37" s="482" t="s">
        <v>893</v>
      </c>
      <c r="B37" s="483"/>
      <c r="C37" s="483"/>
      <c r="D37" s="484"/>
      <c r="G37" s="140"/>
    </row>
    <row r="38" spans="1:7" s="22" customFormat="1" x14ac:dyDescent="0.35">
      <c r="A38" s="155">
        <v>21</v>
      </c>
      <c r="B38" s="473" t="s">
        <v>304</v>
      </c>
      <c r="C38" s="474"/>
      <c r="D38" s="157">
        <v>2040</v>
      </c>
      <c r="G38" s="140"/>
    </row>
    <row r="39" spans="1:7" s="22" customFormat="1" x14ac:dyDescent="0.35">
      <c r="A39" s="155">
        <v>22</v>
      </c>
      <c r="B39" s="473" t="s">
        <v>894</v>
      </c>
      <c r="C39" s="474"/>
      <c r="D39" s="157"/>
      <c r="G39" s="140"/>
    </row>
    <row r="40" spans="1:7" s="22" customFormat="1" x14ac:dyDescent="0.35">
      <c r="A40" s="155">
        <v>23</v>
      </c>
      <c r="B40" s="473" t="s">
        <v>895</v>
      </c>
      <c r="C40" s="474"/>
      <c r="D40" s="157">
        <v>85352</v>
      </c>
      <c r="G40" s="140"/>
    </row>
    <row r="41" spans="1:7" s="22" customFormat="1" x14ac:dyDescent="0.35">
      <c r="A41" s="155">
        <v>24</v>
      </c>
      <c r="B41" s="479" t="s">
        <v>896</v>
      </c>
      <c r="C41" s="480"/>
      <c r="D41" s="160">
        <f>SUM(D38:D40)</f>
        <v>87392</v>
      </c>
      <c r="G41" s="140"/>
    </row>
    <row r="42" spans="1:7" s="22" customFormat="1" x14ac:dyDescent="0.35">
      <c r="A42" s="161"/>
      <c r="B42" s="162"/>
      <c r="C42" s="162"/>
      <c r="D42" s="164"/>
      <c r="G42" s="140"/>
    </row>
    <row r="43" spans="1:7" s="63" customFormat="1" ht="15.5" x14ac:dyDescent="0.35">
      <c r="A43" s="155">
        <v>25</v>
      </c>
      <c r="B43" s="476" t="s">
        <v>897</v>
      </c>
      <c r="C43" s="478"/>
      <c r="D43" s="169">
        <f>SUM(D19,D27,D35,D41)</f>
        <v>37740575.850000001</v>
      </c>
      <c r="G43" s="141"/>
    </row>
    <row r="44" spans="1:7" s="22" customFormat="1" x14ac:dyDescent="0.35">
      <c r="A44" s="170"/>
      <c r="B44" s="170"/>
      <c r="C44" s="170"/>
      <c r="D44" s="170"/>
      <c r="G44" s="140"/>
    </row>
    <row r="45" spans="1:7" s="22" customFormat="1" x14ac:dyDescent="0.35">
      <c r="A45" s="155">
        <v>26</v>
      </c>
      <c r="B45" s="472" t="s">
        <v>898</v>
      </c>
      <c r="C45" s="472"/>
      <c r="D45" s="157">
        <v>37740576</v>
      </c>
      <c r="G45" s="140"/>
    </row>
    <row r="46" spans="1:7" s="22" customFormat="1" ht="15.5" x14ac:dyDescent="0.35">
      <c r="A46" s="155">
        <v>27</v>
      </c>
      <c r="B46" s="472" t="s">
        <v>10</v>
      </c>
      <c r="C46" s="472"/>
      <c r="D46" s="169">
        <f>D43-D45</f>
        <v>-0.14999999850988388</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08984375" defaultRowHeight="14.5" x14ac:dyDescent="0.35"/>
  <cols>
    <col min="2" max="2" width="15.90625" customWidth="1"/>
    <col min="3" max="3" width="43.90625" customWidth="1"/>
    <col min="4" max="4" width="12.36328125" customWidth="1"/>
    <col min="5" max="5" width="15" style="261" customWidth="1"/>
    <col min="6" max="6" width="11.54296875" style="48" customWidth="1"/>
    <col min="7" max="7" width="20.36328125" customWidth="1"/>
    <col min="8" max="8" width="20.36328125" style="261" customWidth="1"/>
    <col min="9" max="9" width="20.36328125" style="48" customWidth="1"/>
    <col min="10" max="10" width="20.36328125" customWidth="1"/>
    <col min="11" max="11" width="20.36328125" style="261" customWidth="1"/>
    <col min="12" max="12" width="20.36328125" style="48" customWidth="1"/>
    <col min="13" max="13" width="20.36328125" customWidth="1"/>
    <col min="14" max="14" width="20.36328125" style="261" customWidth="1"/>
    <col min="15" max="15" width="20.36328125" style="48" customWidth="1"/>
    <col min="16" max="16" width="20.36328125" customWidth="1"/>
    <col min="17" max="17" width="20.36328125" style="261" customWidth="1"/>
    <col min="18" max="18" width="20.36328125" style="48" customWidth="1"/>
    <col min="19" max="19" width="20.36328125" customWidth="1"/>
    <col min="20" max="20" width="20.36328125" style="261" customWidth="1"/>
    <col min="21" max="21" width="20.36328125" style="48" customWidth="1"/>
    <col min="22" max="22" width="20.36328125" customWidth="1"/>
    <col min="23" max="23" width="20.36328125" style="261" customWidth="1"/>
    <col min="24" max="24" width="20.36328125" style="48" customWidth="1"/>
    <col min="25" max="25" width="33.36328125" style="48" customWidth="1"/>
    <col min="26" max="26" width="30.36328125" customWidth="1"/>
    <col min="27" max="27" width="23.54296875" customWidth="1"/>
  </cols>
  <sheetData>
    <row r="1" spans="1:31" ht="26" x14ac:dyDescent="0.6">
      <c r="A1" s="457" t="s">
        <v>774</v>
      </c>
      <c r="F1" s="53"/>
    </row>
    <row r="2" spans="1:31" ht="21" x14ac:dyDescent="0.5">
      <c r="A2" s="2" t="s">
        <v>772</v>
      </c>
      <c r="Z2" s="40"/>
      <c r="AA2" s="40"/>
      <c r="AB2" s="40"/>
      <c r="AC2" s="40"/>
      <c r="AD2" s="40"/>
      <c r="AE2" s="40"/>
    </row>
    <row r="3" spans="1:31" ht="24.9" customHeight="1" x14ac:dyDescent="0.5">
      <c r="A3" s="5" t="s">
        <v>551</v>
      </c>
      <c r="Y3" s="130"/>
      <c r="Z3" s="130"/>
      <c r="AA3" s="130"/>
      <c r="AB3" s="40"/>
      <c r="AC3" s="40"/>
      <c r="AD3" s="40"/>
      <c r="AE3" s="40"/>
    </row>
    <row r="4" spans="1:31" ht="24.9"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0" t="str">
        <f>Results!$C$6</f>
        <v>Diversus Health</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486" t="s">
        <v>1</v>
      </c>
      <c r="C10" s="486"/>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82" t="s">
        <v>280</v>
      </c>
      <c r="B12" s="483"/>
      <c r="C12" s="483"/>
      <c r="D12" s="483"/>
      <c r="E12" s="483"/>
      <c r="F12" s="483"/>
      <c r="G12" s="483"/>
      <c r="H12" s="483"/>
      <c r="I12" s="483"/>
      <c r="J12" s="483"/>
      <c r="K12" s="483"/>
      <c r="L12" s="483"/>
      <c r="M12" s="483"/>
      <c r="N12" s="483"/>
      <c r="O12" s="483"/>
      <c r="P12" s="483"/>
      <c r="Q12" s="483"/>
      <c r="R12" s="483"/>
      <c r="S12" s="483"/>
      <c r="T12" s="483"/>
      <c r="U12" s="483"/>
      <c r="V12" s="483"/>
      <c r="W12" s="483"/>
      <c r="X12" s="484"/>
      <c r="Y12" s="128"/>
      <c r="Z12" s="128"/>
      <c r="AA12" s="128"/>
      <c r="AB12" s="128"/>
      <c r="AC12" s="128"/>
      <c r="AD12" s="128"/>
      <c r="AE12" s="128"/>
    </row>
    <row r="13" spans="1:31" s="22" customFormat="1" x14ac:dyDescent="0.35">
      <c r="A13" s="155">
        <v>1</v>
      </c>
      <c r="B13" s="473" t="s">
        <v>458</v>
      </c>
      <c r="C13" s="475"/>
      <c r="D13" s="156">
        <f>'As-Filed Schedule 1'!D12</f>
        <v>6.2778800000000015</v>
      </c>
      <c r="E13" s="263">
        <f>SUMIFS(Adjustments!$G:$G,Adjustments!$H:$H,"1",Adjustments!$I:$I,$D$9,Adjustments!$J:$J,$A13)</f>
        <v>0</v>
      </c>
      <c r="F13" s="272">
        <f>SUM(D13:E13)</f>
        <v>6.2778800000000015</v>
      </c>
      <c r="G13" s="157">
        <f>'As-Filed Schedule 1'!E12</f>
        <v>353545.797741196</v>
      </c>
      <c r="H13" s="263">
        <f>SUMIFS(Adjustments!$G:$G,Adjustments!$H:$H,"1",Adjustments!$I:$I,$G$9,Adjustments!$J:$J,$A13)</f>
        <v>0</v>
      </c>
      <c r="I13" s="274">
        <f>SUM(G13:H13)</f>
        <v>353545.797741196</v>
      </c>
      <c r="J13" s="157">
        <f>'As-Filed Schedule 1'!F12</f>
        <v>1353383.9754518918</v>
      </c>
      <c r="K13" s="263">
        <f>SUMIFS(Adjustments!$G:$G,Adjustments!$H:$H,"1",Adjustments!$I:$I,$J$9,Adjustments!$J:$J,$A13)</f>
        <v>0</v>
      </c>
      <c r="L13" s="274">
        <f>SUM(J13:K13)</f>
        <v>1353383.9754518918</v>
      </c>
      <c r="M13" s="157">
        <f>'As-Filed Schedule 1'!G12</f>
        <v>211499.75109665203</v>
      </c>
      <c r="N13" s="263">
        <f>SUMIFS(Adjustments!$G:$G,Adjustments!$H:$H,"1",Adjustments!$I:$I,$M$9,Adjustments!$J:$J,$A13)</f>
        <v>0</v>
      </c>
      <c r="O13" s="274">
        <f t="shared" ref="O13:O15" si="0">SUM(M13:N13)</f>
        <v>211499.75109665203</v>
      </c>
      <c r="P13" s="157">
        <f>'As-Filed Schedule 1'!H12</f>
        <v>54812.719308698288</v>
      </c>
      <c r="Q13" s="263">
        <f>SUMIFS(Adjustments!$G:$G,Adjustments!$H:$H,"1",Adjustments!$I:$I,$P$9,Adjustments!$J:$J,$A13)</f>
        <v>0</v>
      </c>
      <c r="R13" s="274">
        <f>SUM(P13:Q13)</f>
        <v>54812.719308698288</v>
      </c>
      <c r="S13" s="157">
        <f>'As-Filed Schedule 1'!I12</f>
        <v>0</v>
      </c>
      <c r="T13" s="263">
        <f>SUMIFS(Adjustments!$G:$G,Adjustments!$H:$H,"1",Adjustments!$I:$I,$S$9,Adjustments!$J:$J,$A13)</f>
        <v>0</v>
      </c>
      <c r="U13" s="274">
        <f t="shared" ref="U13:U15" si="1">SUM(S13:T13)</f>
        <v>0</v>
      </c>
      <c r="V13" s="160">
        <f>SUM(D13,G13,J13,M13,P13,S13)</f>
        <v>1973248.5214784383</v>
      </c>
      <c r="W13" s="266">
        <f>SUM(E13,H13,K13,N13,Q13,T13)</f>
        <v>0</v>
      </c>
      <c r="X13" s="275">
        <f>SUM(F13,I13,L13,O13,R13,U13)</f>
        <v>1973248.5214784383</v>
      </c>
      <c r="Y13" s="140"/>
    </row>
    <row r="14" spans="1:31" s="22" customFormat="1" x14ac:dyDescent="0.35">
      <c r="A14" s="155">
        <v>2</v>
      </c>
      <c r="B14" s="473" t="s">
        <v>291</v>
      </c>
      <c r="C14" s="475"/>
      <c r="D14" s="156">
        <f>'As-Filed Schedule 1'!D13</f>
        <v>93.466023333333609</v>
      </c>
      <c r="E14" s="263">
        <f>SUMIFS(Adjustments!$G:$G,Adjustments!$H:$H,"1",Adjustments!$I:$I,$D$9,Adjustments!$J:$J,$A14)</f>
        <v>0</v>
      </c>
      <c r="F14" s="272">
        <f>SUM(D14:E14)</f>
        <v>93.466023333333609</v>
      </c>
      <c r="G14" s="157">
        <f>'As-Filed Schedule 1'!E13</f>
        <v>1046294.6364418672</v>
      </c>
      <c r="H14" s="263">
        <f>SUMIFS(Adjustments!$G:$G,Adjustments!$H:$H,"1",Adjustments!$I:$I,$G$9,Adjustments!$J:$J,$A14)</f>
        <v>0</v>
      </c>
      <c r="I14" s="274">
        <f t="shared" ref="I14:I15" si="2">SUM(G14:H14)</f>
        <v>1046294.6364418672</v>
      </c>
      <c r="J14" s="157">
        <f>'As-Filed Schedule 1'!F13</f>
        <v>6983269.5010857536</v>
      </c>
      <c r="K14" s="263">
        <f>SUMIFS(Adjustments!$G:$G,Adjustments!$H:$H,"1",Adjustments!$I:$I,$J$9,Adjustments!$J:$J,$A14)</f>
        <v>0</v>
      </c>
      <c r="L14" s="274">
        <f t="shared" ref="L14:L15" si="3">SUM(J14:K14)</f>
        <v>6983269.5010857536</v>
      </c>
      <c r="M14" s="157">
        <f>'As-Filed Schedule 1'!G13</f>
        <v>1064605.3343874</v>
      </c>
      <c r="N14" s="263">
        <f>SUMIFS(Adjustments!$G:$G,Adjustments!$H:$H,"1",Adjustments!$I:$I,$M$9,Adjustments!$J:$J,$A14)</f>
        <v>0</v>
      </c>
      <c r="O14" s="274">
        <f t="shared" si="0"/>
        <v>1064605.3343874</v>
      </c>
      <c r="P14" s="157">
        <f>'As-Filed Schedule 1'!H13</f>
        <v>464856.64402236691</v>
      </c>
      <c r="Q14" s="263">
        <f>SUMIFS(Adjustments!$G:$G,Adjustments!$H:$H,"1",Adjustments!$I:$I,$P$9,Adjustments!$J:$J,$A14)</f>
        <v>0</v>
      </c>
      <c r="R14" s="274">
        <f t="shared" ref="R14:R15" si="4">SUM(P14:Q14)</f>
        <v>464856.64402236691</v>
      </c>
      <c r="S14" s="157">
        <f>'As-Filed Schedule 1'!I13</f>
        <v>0</v>
      </c>
      <c r="T14" s="263">
        <f>SUMIFS(Adjustments!$G:$G,Adjustments!$H:$H,"1",Adjustments!$I:$I,$S$9,Adjustments!$J:$J,$A14)</f>
        <v>0</v>
      </c>
      <c r="U14" s="274">
        <f t="shared" si="1"/>
        <v>0</v>
      </c>
      <c r="V14" s="160">
        <f t="shared" ref="V14:V15" si="5">SUM(D14,G14,J14,M14,P14,S14)</f>
        <v>9559119.5819607191</v>
      </c>
      <c r="W14" s="266">
        <f t="shared" ref="W14:W15" si="6">SUM(E14,H14,K14,N14,Q14,T14)</f>
        <v>0</v>
      </c>
      <c r="X14" s="275">
        <f t="shared" ref="X14:X15" si="7">SUM(F14,I14,L14,O14,R14,U14)</f>
        <v>9559119.5819607191</v>
      </c>
      <c r="Y14" s="140"/>
    </row>
    <row r="15" spans="1:31" s="22" customFormat="1" x14ac:dyDescent="0.35">
      <c r="A15" s="155">
        <v>3</v>
      </c>
      <c r="B15" s="473" t="s">
        <v>301</v>
      </c>
      <c r="C15" s="475"/>
      <c r="D15" s="156">
        <f>'As-Filed Schedule 1'!D14</f>
        <v>112.10927</v>
      </c>
      <c r="E15" s="263">
        <f>SUMIFS(Adjustments!$G:$G,Adjustments!$H:$H,"1",Adjustments!$I:$I,$D$9,Adjustments!$J:$J,$A15)</f>
        <v>0</v>
      </c>
      <c r="F15" s="272">
        <f>SUM(D15:E15)</f>
        <v>112.10927</v>
      </c>
      <c r="G15" s="157">
        <f>'As-Filed Schedule 1'!E14</f>
        <v>155039.50457509593</v>
      </c>
      <c r="H15" s="263">
        <f>SUMIFS(Adjustments!$G:$G,Adjustments!$H:$H,"1",Adjustments!$I:$I,$G$9,Adjustments!$J:$J,$A15)</f>
        <v>0</v>
      </c>
      <c r="I15" s="274">
        <f t="shared" si="2"/>
        <v>155039.50457509593</v>
      </c>
      <c r="J15" s="157">
        <f>'As-Filed Schedule 1'!F14</f>
        <v>4150260.4457572801</v>
      </c>
      <c r="K15" s="263">
        <f>SUMIFS(Adjustments!$G:$G,Adjustments!$H:$H,"1",Adjustments!$I:$I,$J$9,Adjustments!$J:$J,$A15)</f>
        <v>0</v>
      </c>
      <c r="L15" s="274">
        <f t="shared" si="3"/>
        <v>4150260.4457572801</v>
      </c>
      <c r="M15" s="157">
        <f>'As-Filed Schedule 1'!G14</f>
        <v>535190.81224685675</v>
      </c>
      <c r="N15" s="263">
        <f>SUMIFS(Adjustments!$G:$G,Adjustments!$H:$H,"1",Adjustments!$I:$I,$M$9,Adjustments!$J:$J,$A15)</f>
        <v>0</v>
      </c>
      <c r="O15" s="274">
        <f t="shared" si="0"/>
        <v>535190.81224685675</v>
      </c>
      <c r="P15" s="157">
        <f>'As-Filed Schedule 1'!H14</f>
        <v>508921.9369625831</v>
      </c>
      <c r="Q15" s="263">
        <f>SUMIFS(Adjustments!$G:$G,Adjustments!$H:$H,"1",Adjustments!$I:$I,$P$9,Adjustments!$J:$J,$A15)</f>
        <v>0</v>
      </c>
      <c r="R15" s="274">
        <f t="shared" si="4"/>
        <v>508921.9369625831</v>
      </c>
      <c r="S15" s="157">
        <f>'As-Filed Schedule 1'!I14</f>
        <v>0</v>
      </c>
      <c r="T15" s="263">
        <f>SUMIFS(Adjustments!$G:$G,Adjustments!$H:$H,"1",Adjustments!$I:$I,$S$9,Adjustments!$J:$J,$A15)</f>
        <v>0</v>
      </c>
      <c r="U15" s="274">
        <f t="shared" si="1"/>
        <v>0</v>
      </c>
      <c r="V15" s="160">
        <f t="shared" si="5"/>
        <v>5349524.8088118164</v>
      </c>
      <c r="W15" s="266">
        <f t="shared" si="6"/>
        <v>0</v>
      </c>
      <c r="X15" s="275">
        <f t="shared" si="7"/>
        <v>5349524.8088118164</v>
      </c>
      <c r="Y15" s="140"/>
    </row>
    <row r="16" spans="1:31" s="22" customFormat="1" x14ac:dyDescent="0.35">
      <c r="A16" s="155">
        <v>4</v>
      </c>
      <c r="B16" s="479" t="s">
        <v>290</v>
      </c>
      <c r="C16" s="481"/>
      <c r="D16" s="159">
        <f>SUM(D13:D15)</f>
        <v>211.85317333333359</v>
      </c>
      <c r="E16" s="159">
        <f t="shared" ref="E16:F16" si="8">SUM(E13:E15)</f>
        <v>0</v>
      </c>
      <c r="F16" s="159">
        <f t="shared" si="8"/>
        <v>211.85317333333359</v>
      </c>
      <c r="G16" s="160">
        <f>SUM(G13:G15)</f>
        <v>1554879.9387581591</v>
      </c>
      <c r="H16" s="160">
        <f t="shared" ref="H16:U16" si="9">SUM(H13:H15)</f>
        <v>0</v>
      </c>
      <c r="I16" s="160">
        <f t="shared" si="9"/>
        <v>1554879.9387581591</v>
      </c>
      <c r="J16" s="160">
        <f t="shared" si="9"/>
        <v>12486913.922294926</v>
      </c>
      <c r="K16" s="160">
        <f t="shared" si="9"/>
        <v>0</v>
      </c>
      <c r="L16" s="160">
        <f t="shared" si="9"/>
        <v>12486913.922294926</v>
      </c>
      <c r="M16" s="160">
        <f t="shared" si="9"/>
        <v>1811295.8977309088</v>
      </c>
      <c r="N16" s="160">
        <f t="shared" si="9"/>
        <v>0</v>
      </c>
      <c r="O16" s="160">
        <f t="shared" si="9"/>
        <v>1811295.8977309088</v>
      </c>
      <c r="P16" s="160">
        <f t="shared" si="9"/>
        <v>1028591.3002936483</v>
      </c>
      <c r="Q16" s="160">
        <f t="shared" si="9"/>
        <v>0</v>
      </c>
      <c r="R16" s="160">
        <f t="shared" si="9"/>
        <v>1028591.3002936483</v>
      </c>
      <c r="S16" s="160">
        <f t="shared" si="9"/>
        <v>0</v>
      </c>
      <c r="T16" s="160">
        <f t="shared" si="9"/>
        <v>0</v>
      </c>
      <c r="U16" s="160">
        <f t="shared" si="9"/>
        <v>0</v>
      </c>
      <c r="V16" s="160">
        <f>SUM(D16,G16,J16,M16,P16,S16)</f>
        <v>16881892.912250973</v>
      </c>
      <c r="W16" s="266">
        <f>SUM(E16,H16,K16,N16,Q16,T16)</f>
        <v>0</v>
      </c>
      <c r="X16" s="275">
        <f>SUM(F16,I16,L16,O16,R16,U16)</f>
        <v>16881892.912250973</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82" t="s">
        <v>281</v>
      </c>
      <c r="B18" s="483"/>
      <c r="C18" s="483"/>
      <c r="D18" s="483"/>
      <c r="E18" s="483"/>
      <c r="F18" s="483"/>
      <c r="G18" s="483"/>
      <c r="H18" s="483"/>
      <c r="I18" s="483"/>
      <c r="J18" s="483"/>
      <c r="K18" s="483"/>
      <c r="L18" s="483"/>
      <c r="M18" s="483"/>
      <c r="N18" s="483"/>
      <c r="O18" s="483"/>
      <c r="P18" s="483"/>
      <c r="Q18" s="483"/>
      <c r="R18" s="483"/>
      <c r="S18" s="483"/>
      <c r="T18" s="483"/>
      <c r="U18" s="483"/>
      <c r="V18" s="483"/>
      <c r="W18" s="483"/>
      <c r="X18" s="484"/>
      <c r="Y18" s="140"/>
    </row>
    <row r="19" spans="1:25" s="22" customFormat="1" x14ac:dyDescent="0.35">
      <c r="A19" s="155">
        <v>5</v>
      </c>
      <c r="B19" s="473" t="s">
        <v>221</v>
      </c>
      <c r="C19" s="475"/>
      <c r="D19" s="156">
        <f>'As-Filed Schedule 1'!D18</f>
        <v>3.2287319999999999</v>
      </c>
      <c r="E19" s="263">
        <f>SUMIFS(Adjustments!$G:$G,Adjustments!$H:$H,"1",Adjustments!$I:$I,$D$9,Adjustments!$J:$J,$A19)</f>
        <v>0</v>
      </c>
      <c r="F19" s="272">
        <f>SUM(D19:E19)</f>
        <v>3.2287319999999999</v>
      </c>
      <c r="G19" s="157">
        <f>'As-Filed Schedule 1'!E18</f>
        <v>928428.59896015003</v>
      </c>
      <c r="H19" s="263">
        <f>SUMIFS(Adjustments!$G:$G,Adjustments!$H:$H,"1",Adjustments!$I:$I,$G$9,Adjustments!$J:$J,$A19)</f>
        <v>0</v>
      </c>
      <c r="I19" s="274">
        <f t="shared" ref="I19:I20" si="10">SUM(G19:H19)</f>
        <v>928428.59896015003</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928431.82769215002</v>
      </c>
      <c r="W19" s="266">
        <f t="shared" ref="W19:W20" si="16">SUM(E19,H19,K19,N19,Q19,T19)</f>
        <v>0</v>
      </c>
      <c r="X19" s="275">
        <f t="shared" ref="X19:X20" si="17">SUM(F19,I19,L19,O19,R19,U19)</f>
        <v>928431.82769215002</v>
      </c>
      <c r="Y19" s="140"/>
    </row>
    <row r="20" spans="1:25" s="22" customFormat="1" x14ac:dyDescent="0.35">
      <c r="A20" s="155">
        <v>6</v>
      </c>
      <c r="B20" s="473" t="s">
        <v>293</v>
      </c>
      <c r="C20" s="475"/>
      <c r="D20" s="156">
        <f>'As-Filed Schedule 1'!D19</f>
        <v>114.09652616666671</v>
      </c>
      <c r="E20" s="263">
        <f>SUMIFS(Adjustments!$G:$G,Adjustments!$H:$H,"1",Adjustments!$I:$I,$D$9,Adjustments!$J:$J,$A20)</f>
        <v>0</v>
      </c>
      <c r="F20" s="272">
        <f>SUM(D20:E20)</f>
        <v>114.09652616666671</v>
      </c>
      <c r="G20" s="157">
        <f>'As-Filed Schedule 1'!E19</f>
        <v>4848824.7422816921</v>
      </c>
      <c r="H20" s="263">
        <f>SUMIFS(Adjustments!$G:$G,Adjustments!$H:$H,"1",Adjustments!$I:$I,$G$9,Adjustments!$J:$J,$A20)</f>
        <v>0</v>
      </c>
      <c r="I20" s="274">
        <f t="shared" si="10"/>
        <v>4848824.7422816921</v>
      </c>
      <c r="J20" s="157">
        <f>'As-Filed Schedule 1'!F19</f>
        <v>2295976.13452469</v>
      </c>
      <c r="K20" s="263">
        <f>SUMIFS(Adjustments!$G:$G,Adjustments!$H:$H,"1",Adjustments!$I:$I,$J$9,Adjustments!$J:$J,$A20)</f>
        <v>0</v>
      </c>
      <c r="L20" s="274">
        <f t="shared" si="11"/>
        <v>2295976.13452469</v>
      </c>
      <c r="M20" s="157">
        <f>'As-Filed Schedule 1'!G19</f>
        <v>396385.03233500227</v>
      </c>
      <c r="N20" s="263">
        <f>SUMIFS(Adjustments!$G:$G,Adjustments!$H:$H,"1",Adjustments!$I:$I,$M$9,Adjustments!$J:$J,$A20)</f>
        <v>0</v>
      </c>
      <c r="O20" s="274">
        <f t="shared" si="12"/>
        <v>396385.03233500227</v>
      </c>
      <c r="P20" s="157">
        <f>'As-Filed Schedule 1'!H19</f>
        <v>231497.38282082393</v>
      </c>
      <c r="Q20" s="263">
        <f>SUMIFS(Adjustments!$G:$G,Adjustments!$H:$H,"1",Adjustments!$I:$I,$P$9,Adjustments!$J:$J,$A20)</f>
        <v>0</v>
      </c>
      <c r="R20" s="274">
        <f t="shared" si="13"/>
        <v>231497.38282082393</v>
      </c>
      <c r="S20" s="157">
        <f>'As-Filed Schedule 1'!I19</f>
        <v>0</v>
      </c>
      <c r="T20" s="263">
        <f>SUMIFS(Adjustments!$G:$G,Adjustments!$H:$H,"1",Adjustments!$I:$I,$S$9,Adjustments!$J:$J,$A20)</f>
        <v>0</v>
      </c>
      <c r="U20" s="274">
        <f t="shared" si="14"/>
        <v>0</v>
      </c>
      <c r="V20" s="160">
        <f t="shared" si="15"/>
        <v>7772797.3884883747</v>
      </c>
      <c r="W20" s="266">
        <f t="shared" si="16"/>
        <v>0</v>
      </c>
      <c r="X20" s="275">
        <f t="shared" si="17"/>
        <v>7772797.3884883747</v>
      </c>
      <c r="Y20" s="140"/>
    </row>
    <row r="21" spans="1:25" s="22" customFormat="1" x14ac:dyDescent="0.35">
      <c r="A21" s="155">
        <v>7</v>
      </c>
      <c r="B21" s="479" t="s">
        <v>220</v>
      </c>
      <c r="C21" s="481"/>
      <c r="D21" s="159">
        <f>SUM(D19:D20)</f>
        <v>117.3252581666667</v>
      </c>
      <c r="E21" s="159">
        <f t="shared" ref="E21:F21" si="18">SUM(E19:E20)</f>
        <v>0</v>
      </c>
      <c r="F21" s="159">
        <f t="shared" si="18"/>
        <v>117.3252581666667</v>
      </c>
      <c r="G21" s="160">
        <f>SUM(G19:G20)</f>
        <v>5777253.3412418421</v>
      </c>
      <c r="H21" s="160">
        <f t="shared" ref="H21:U21" si="19">SUM(H19:H20)</f>
        <v>0</v>
      </c>
      <c r="I21" s="160">
        <f t="shared" si="19"/>
        <v>5777253.3412418421</v>
      </c>
      <c r="J21" s="160">
        <f t="shared" si="19"/>
        <v>2295976.13452469</v>
      </c>
      <c r="K21" s="160">
        <f t="shared" si="19"/>
        <v>0</v>
      </c>
      <c r="L21" s="160">
        <f t="shared" si="19"/>
        <v>2295976.13452469</v>
      </c>
      <c r="M21" s="160">
        <f t="shared" si="19"/>
        <v>396385.03233500227</v>
      </c>
      <c r="N21" s="160">
        <f t="shared" si="19"/>
        <v>0</v>
      </c>
      <c r="O21" s="160">
        <f t="shared" si="19"/>
        <v>396385.03233500227</v>
      </c>
      <c r="P21" s="160">
        <f t="shared" si="19"/>
        <v>231497.38282082393</v>
      </c>
      <c r="Q21" s="160">
        <f t="shared" si="19"/>
        <v>0</v>
      </c>
      <c r="R21" s="160">
        <f t="shared" si="19"/>
        <v>231497.38282082393</v>
      </c>
      <c r="S21" s="160">
        <f t="shared" si="19"/>
        <v>0</v>
      </c>
      <c r="T21" s="160">
        <f t="shared" si="19"/>
        <v>0</v>
      </c>
      <c r="U21" s="160">
        <f t="shared" si="19"/>
        <v>0</v>
      </c>
      <c r="V21" s="160">
        <f>SUM(D21,G21,J21,M21,P21,S21)</f>
        <v>8701229.2161805257</v>
      </c>
      <c r="W21" s="266">
        <f>SUM(E21,H21,K21,N21,Q21,T21)</f>
        <v>0</v>
      </c>
      <c r="X21" s="275">
        <f>SUM(F21,I21,L21,O21,R21,U21)</f>
        <v>8701229.2161805257</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82" t="s">
        <v>275</v>
      </c>
      <c r="B23" s="483"/>
      <c r="C23" s="483"/>
      <c r="D23" s="483"/>
      <c r="E23" s="483"/>
      <c r="F23" s="483"/>
      <c r="G23" s="483"/>
      <c r="H23" s="483"/>
      <c r="I23" s="483"/>
      <c r="J23" s="483"/>
      <c r="K23" s="483"/>
      <c r="L23" s="483"/>
      <c r="M23" s="483"/>
      <c r="N23" s="483"/>
      <c r="O23" s="483"/>
      <c r="P23" s="483"/>
      <c r="Q23" s="483"/>
      <c r="R23" s="483"/>
      <c r="S23" s="483"/>
      <c r="T23" s="483"/>
      <c r="U23" s="483"/>
      <c r="V23" s="483"/>
      <c r="W23" s="483"/>
      <c r="X23" s="484"/>
      <c r="Y23" s="140"/>
    </row>
    <row r="24" spans="1:25" s="22" customFormat="1" x14ac:dyDescent="0.35">
      <c r="A24" s="155">
        <v>8</v>
      </c>
      <c r="B24" s="473" t="s">
        <v>276</v>
      </c>
      <c r="C24" s="474"/>
      <c r="D24" s="474"/>
      <c r="E24" s="474"/>
      <c r="F24" s="475"/>
      <c r="G24" s="165">
        <f>'As-Filed Schedule 1A'!H27*-1</f>
        <v>-111445.75961817428</v>
      </c>
      <c r="H24" s="160"/>
      <c r="I24" s="165">
        <f>'Schedule 1A Adjustments'!K27*-1</f>
        <v>-111445.75961817428</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111445.75961817428</v>
      </c>
      <c r="T24" s="160"/>
      <c r="U24" s="277">
        <f>-SUM(I24,L24,O24,R24)</f>
        <v>111445.75961817428</v>
      </c>
      <c r="V24" s="160">
        <f>SUM(G24,J24,M24,P24,S24)</f>
        <v>0</v>
      </c>
      <c r="W24" s="266"/>
      <c r="X24" s="275">
        <f>SUM(I24,L24,O24,R24,U24)</f>
        <v>0</v>
      </c>
      <c r="Y24" s="140"/>
    </row>
    <row r="25" spans="1:25" s="22" customFormat="1" x14ac:dyDescent="0.35">
      <c r="A25" s="155">
        <v>9</v>
      </c>
      <c r="B25" s="479" t="s">
        <v>222</v>
      </c>
      <c r="C25" s="480"/>
      <c r="D25" s="480"/>
      <c r="E25" s="480"/>
      <c r="F25" s="481"/>
      <c r="G25" s="160">
        <f>SUM(G24:G24)</f>
        <v>-111445.75961817428</v>
      </c>
      <c r="H25" s="160">
        <f t="shared" ref="H25:I25" si="20">SUM(H24:H24)</f>
        <v>0</v>
      </c>
      <c r="I25" s="160">
        <f t="shared" si="20"/>
        <v>-111445.75961817428</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111445.75961817428</v>
      </c>
      <c r="T25" s="160">
        <f t="shared" ref="T25:U25" si="24">SUM(T24:T24)</f>
        <v>0</v>
      </c>
      <c r="U25" s="160">
        <f t="shared" si="24"/>
        <v>111445.75961817428</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82" t="s">
        <v>235</v>
      </c>
      <c r="B27" s="483"/>
      <c r="C27" s="483"/>
      <c r="D27" s="483"/>
      <c r="E27" s="483"/>
      <c r="F27" s="483"/>
      <c r="G27" s="483"/>
      <c r="H27" s="483"/>
      <c r="I27" s="483"/>
      <c r="J27" s="483"/>
      <c r="K27" s="483"/>
      <c r="L27" s="483"/>
      <c r="M27" s="483"/>
      <c r="N27" s="483"/>
      <c r="O27" s="483"/>
      <c r="P27" s="483"/>
      <c r="Q27" s="483"/>
      <c r="R27" s="483"/>
      <c r="S27" s="483"/>
      <c r="T27" s="483"/>
      <c r="U27" s="483"/>
      <c r="V27" s="483"/>
      <c r="W27" s="483"/>
      <c r="X27" s="484"/>
      <c r="Y27" s="140"/>
    </row>
    <row r="28" spans="1:25" s="22" customFormat="1" x14ac:dyDescent="0.35">
      <c r="A28" s="155">
        <v>10</v>
      </c>
      <c r="B28" s="473" t="s">
        <v>224</v>
      </c>
      <c r="C28" s="474"/>
      <c r="D28" s="474"/>
      <c r="E28" s="474"/>
      <c r="F28" s="475"/>
      <c r="G28" s="157">
        <f>'As-Filed Schedule 1'!E27</f>
        <v>183259.19</v>
      </c>
      <c r="H28" s="263">
        <f>SUMIFS(Adjustments!$G:$G,Adjustments!$H:$H,"1",Adjustments!$I:$I,$G$9,Adjustments!$J:$J,$A28)</f>
        <v>0</v>
      </c>
      <c r="I28" s="274">
        <f t="shared" ref="I28:I30" si="25">SUM(G28:H28)</f>
        <v>183259.19</v>
      </c>
      <c r="J28" s="157">
        <f>'As-Filed Schedule 1'!F27</f>
        <v>3276.536126126126</v>
      </c>
      <c r="K28" s="263">
        <f>SUMIFS(Adjustments!$G:$G,Adjustments!$H:$H,"1",Adjustments!$I:$I,$J$9,Adjustments!$J:$J,$A28)</f>
        <v>0</v>
      </c>
      <c r="L28" s="274">
        <f t="shared" ref="L28:L30" si="26">SUM(J28:K28)</f>
        <v>3276.536126126126</v>
      </c>
      <c r="M28" s="157">
        <f>'As-Filed Schedule 1'!G27</f>
        <v>0</v>
      </c>
      <c r="N28" s="263">
        <f>SUMIFS(Adjustments!$G:$G,Adjustments!$H:$H,"1",Adjustments!$I:$I,$M$9,Adjustments!$J:$J,$A28)</f>
        <v>0</v>
      </c>
      <c r="O28" s="274">
        <f t="shared" ref="O28:O30" si="27">SUM(M28:N28)</f>
        <v>0</v>
      </c>
      <c r="P28" s="157">
        <f>'As-Filed Schedule 1'!H27</f>
        <v>13.873873873873872</v>
      </c>
      <c r="Q28" s="263">
        <f>SUMIFS(Adjustments!$G:$G,Adjustments!$H:$H,"1",Adjustments!$I:$I,$P$9,Adjustments!$J:$J,$A28)</f>
        <v>0</v>
      </c>
      <c r="R28" s="274">
        <f t="shared" ref="R28:R30" si="28">SUM(P28:Q28)</f>
        <v>13.873873873873872</v>
      </c>
      <c r="S28" s="157">
        <f>'As-Filed Schedule 1'!I27</f>
        <v>0</v>
      </c>
      <c r="T28" s="263">
        <f>SUMIFS(Adjustments!$G:$G,Adjustments!$H:$H,"1",Adjustments!$I:$I,$S$9,Adjustments!$J:$J,$A28)</f>
        <v>0</v>
      </c>
      <c r="U28" s="274">
        <f t="shared" ref="U28:U30" si="29">SUM(S28:T28)</f>
        <v>0</v>
      </c>
      <c r="V28" s="160">
        <f t="shared" ref="V28:V30" si="30">SUM(G28,J28,M28,P28,S28)</f>
        <v>186549.6</v>
      </c>
      <c r="W28" s="266">
        <f t="shared" ref="W28:W30" si="31">SUM(,H28,K28,N28,Q28,T28)</f>
        <v>0</v>
      </c>
      <c r="X28" s="275">
        <f t="shared" ref="X28:X30" si="32">SUM(I28,L28,O28,R28,U28)</f>
        <v>186549.6</v>
      </c>
      <c r="Y28" s="140"/>
    </row>
    <row r="29" spans="1:25" s="22" customFormat="1" x14ac:dyDescent="0.35">
      <c r="A29" s="166">
        <v>11</v>
      </c>
      <c r="B29" s="473" t="s">
        <v>223</v>
      </c>
      <c r="C29" s="474"/>
      <c r="D29" s="474"/>
      <c r="E29" s="474"/>
      <c r="F29" s="475"/>
      <c r="G29" s="157">
        <f>'As-Filed Schedule 1'!E28</f>
        <v>2224352.6599999997</v>
      </c>
      <c r="H29" s="263">
        <f>SUMIFS(Adjustments!$G:$G,Adjustments!$H:$H,"1",Adjustments!$I:$I,$G$9,Adjustments!$J:$J,$A29)</f>
        <v>0</v>
      </c>
      <c r="I29" s="274">
        <f t="shared" si="25"/>
        <v>2224352.6599999997</v>
      </c>
      <c r="J29" s="157">
        <f>'As-Filed Schedule 1'!F28</f>
        <v>4258874.001869238</v>
      </c>
      <c r="K29" s="263">
        <f>SUMIFS(Adjustments!$G:$G,Adjustments!$H:$H,"1",Adjustments!$I:$I,$J$9,Adjustments!$J:$J,$A29)</f>
        <v>0</v>
      </c>
      <c r="L29" s="274">
        <f t="shared" si="26"/>
        <v>4258874.001869238</v>
      </c>
      <c r="M29" s="157">
        <f>'As-Filed Schedule 1'!G28</f>
        <v>546970.49791368854</v>
      </c>
      <c r="N29" s="263">
        <f>SUMIFS(Adjustments!$G:$G,Adjustments!$H:$H,"1",Adjustments!$I:$I,$M$9,Adjustments!$J:$J,$A29)</f>
        <v>0</v>
      </c>
      <c r="O29" s="274">
        <f t="shared" si="27"/>
        <v>546970.49791368854</v>
      </c>
      <c r="P29" s="157">
        <f>'As-Filed Schedule 1'!H28</f>
        <v>359076.81021707325</v>
      </c>
      <c r="Q29" s="263">
        <f>SUMIFS(Adjustments!$G:$G,Adjustments!$H:$H,"1",Adjustments!$I:$I,$P$9,Adjustments!$J:$J,$A29)</f>
        <v>0</v>
      </c>
      <c r="R29" s="274">
        <f t="shared" si="28"/>
        <v>359076.81021707325</v>
      </c>
      <c r="S29" s="157">
        <f>'As-Filed Schedule 1'!I28</f>
        <v>0</v>
      </c>
      <c r="T29" s="263">
        <f>SUMIFS(Adjustments!$G:$G,Adjustments!$H:$H,"1",Adjustments!$I:$I,$S$9,Adjustments!$J:$J,$A29)</f>
        <v>0</v>
      </c>
      <c r="U29" s="274">
        <f t="shared" si="29"/>
        <v>0</v>
      </c>
      <c r="V29" s="160">
        <f t="shared" si="30"/>
        <v>7389273.9699999988</v>
      </c>
      <c r="W29" s="266">
        <f t="shared" si="31"/>
        <v>0</v>
      </c>
      <c r="X29" s="275">
        <f t="shared" si="32"/>
        <v>7389273.9699999988</v>
      </c>
      <c r="Y29" s="140"/>
    </row>
    <row r="30" spans="1:25" s="22" customFormat="1" x14ac:dyDescent="0.35">
      <c r="A30" s="155">
        <v>12</v>
      </c>
      <c r="B30" s="473" t="s">
        <v>300</v>
      </c>
      <c r="C30" s="474"/>
      <c r="D30" s="474"/>
      <c r="E30" s="474"/>
      <c r="F30" s="475"/>
      <c r="G30" s="157">
        <f>'As-Filed Schedule 1'!E29</f>
        <v>484323.24999999994</v>
      </c>
      <c r="H30" s="263">
        <f>SUMIFS(Adjustments!$G:$G,Adjustments!$H:$H,"1",Adjustments!$I:$I,$G$9,Adjustments!$J:$J,$A30)</f>
        <v>0</v>
      </c>
      <c r="I30" s="274">
        <f t="shared" si="25"/>
        <v>484323.24999999994</v>
      </c>
      <c r="J30" s="157">
        <f>'As-Filed Schedule 1'!F29</f>
        <v>212866.82584609662</v>
      </c>
      <c r="K30" s="263">
        <f>SUMIFS(Adjustments!$G:$G,Adjustments!$H:$H,"1",Adjustments!$I:$I,$J$9,Adjustments!$J:$J,$A30)</f>
        <v>0</v>
      </c>
      <c r="L30" s="274">
        <f t="shared" si="26"/>
        <v>212866.82584609662</v>
      </c>
      <c r="M30" s="157">
        <f>'As-Filed Schedule 1'!G29</f>
        <v>15706.19468608949</v>
      </c>
      <c r="N30" s="263">
        <f>SUMIFS(Adjustments!$G:$G,Adjustments!$H:$H,"1",Adjustments!$I:$I,$M$9,Adjustments!$J:$J,$A30)</f>
        <v>0</v>
      </c>
      <c r="O30" s="274">
        <f t="shared" si="27"/>
        <v>15706.19468608949</v>
      </c>
      <c r="P30" s="157">
        <f>'As-Filed Schedule 1'!H29</f>
        <v>28773.519467813894</v>
      </c>
      <c r="Q30" s="263">
        <f>SUMIFS(Adjustments!$G:$G,Adjustments!$H:$H,"1",Adjustments!$I:$I,$P$9,Adjustments!$J:$J,$A30)</f>
        <v>0</v>
      </c>
      <c r="R30" s="274">
        <f t="shared" si="28"/>
        <v>28773.519467813894</v>
      </c>
      <c r="S30" s="157">
        <f>'As-Filed Schedule 1'!I29</f>
        <v>171577.43</v>
      </c>
      <c r="T30" s="263">
        <f>SUMIFS(Adjustments!$G:$G,Adjustments!$H:$H,"1",Adjustments!$I:$I,$S$9,Adjustments!$J:$J,$A30)</f>
        <v>0</v>
      </c>
      <c r="U30" s="274">
        <f t="shared" si="29"/>
        <v>171577.43</v>
      </c>
      <c r="V30" s="160">
        <f t="shared" si="30"/>
        <v>913247.22</v>
      </c>
      <c r="W30" s="266">
        <f t="shared" si="31"/>
        <v>0</v>
      </c>
      <c r="X30" s="275">
        <f t="shared" si="32"/>
        <v>913247.22</v>
      </c>
      <c r="Y30" s="140"/>
    </row>
    <row r="31" spans="1:25" s="22" customFormat="1" x14ac:dyDescent="0.35">
      <c r="A31" s="155">
        <v>13</v>
      </c>
      <c r="B31" s="479" t="s">
        <v>225</v>
      </c>
      <c r="C31" s="480"/>
      <c r="D31" s="480"/>
      <c r="E31" s="480"/>
      <c r="F31" s="481"/>
      <c r="G31" s="160">
        <f>SUM(G28:G30)</f>
        <v>2891935.0999999996</v>
      </c>
      <c r="H31" s="160">
        <f t="shared" ref="H31:I31" si="33">SUM(H28:H30)</f>
        <v>0</v>
      </c>
      <c r="I31" s="160">
        <f t="shared" si="33"/>
        <v>2891935.0999999996</v>
      </c>
      <c r="J31" s="160">
        <f>SUM(J28:J30)</f>
        <v>4475017.363841461</v>
      </c>
      <c r="K31" s="160">
        <f t="shared" ref="K31:L31" si="34">SUM(K28:K30)</f>
        <v>0</v>
      </c>
      <c r="L31" s="160">
        <f t="shared" si="34"/>
        <v>4475017.363841461</v>
      </c>
      <c r="M31" s="160">
        <f>SUM(M28:M30)</f>
        <v>562676.69259977806</v>
      </c>
      <c r="N31" s="160">
        <f t="shared" ref="N31:T31" si="35">SUM(N28:N30)</f>
        <v>0</v>
      </c>
      <c r="O31" s="160">
        <f t="shared" si="35"/>
        <v>562676.69259977806</v>
      </c>
      <c r="P31" s="160">
        <f t="shared" si="35"/>
        <v>387864.20355876099</v>
      </c>
      <c r="Q31" s="160">
        <f t="shared" si="35"/>
        <v>0</v>
      </c>
      <c r="R31" s="160">
        <f t="shared" si="35"/>
        <v>387864.20355876099</v>
      </c>
      <c r="S31" s="160">
        <f t="shared" si="35"/>
        <v>171577.43</v>
      </c>
      <c r="T31" s="160">
        <f t="shared" si="35"/>
        <v>0</v>
      </c>
      <c r="U31" s="160">
        <f>SUM(U28:U30)</f>
        <v>171577.43</v>
      </c>
      <c r="V31" s="160">
        <f>SUM(G31,J31,M31,P31,S31)</f>
        <v>8489070.7899999991</v>
      </c>
      <c r="W31" s="266">
        <f>SUM(,H31,K31,N31,Q31,T31)</f>
        <v>0</v>
      </c>
      <c r="X31" s="275">
        <f>SUM(I31,L31,O31,R31,U31)</f>
        <v>8489070.7899999991</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79" t="s">
        <v>228</v>
      </c>
      <c r="C33" s="480"/>
      <c r="D33" s="480"/>
      <c r="E33" s="480"/>
      <c r="F33" s="481"/>
      <c r="G33" s="160">
        <f>G31+G25+G21+G16</f>
        <v>10112622.620381827</v>
      </c>
      <c r="H33" s="160">
        <f t="shared" ref="H33:I33" si="36">H31+H25+H21+H16</f>
        <v>0</v>
      </c>
      <c r="I33" s="160">
        <f t="shared" si="36"/>
        <v>10112622.620381827</v>
      </c>
      <c r="J33" s="160">
        <f>J31+J25+J21+J16</f>
        <v>19257907.420661077</v>
      </c>
      <c r="K33" s="160">
        <f>K31+K25+K21+K16</f>
        <v>0</v>
      </c>
      <c r="L33" s="160">
        <f t="shared" ref="L33" si="37">L31+L25+L21+L16</f>
        <v>19257907.420661077</v>
      </c>
      <c r="M33" s="160">
        <f>M31+M25+M21+M16</f>
        <v>2770357.6226656893</v>
      </c>
      <c r="N33" s="160">
        <f t="shared" ref="N33:O33" si="38">N31+N25+N21+N16</f>
        <v>0</v>
      </c>
      <c r="O33" s="160">
        <f t="shared" si="38"/>
        <v>2770357.6226656893</v>
      </c>
      <c r="P33" s="160">
        <f>P31+P25+P21+P16</f>
        <v>1647952.886673233</v>
      </c>
      <c r="Q33" s="160">
        <f t="shared" ref="Q33:R33" si="39">Q31+Q25+Q21+Q16</f>
        <v>0</v>
      </c>
      <c r="R33" s="160">
        <f t="shared" si="39"/>
        <v>1647952.886673233</v>
      </c>
      <c r="S33" s="160">
        <f>S31+S25+S21+S16</f>
        <v>283023.18961817428</v>
      </c>
      <c r="T33" s="160">
        <f>T31+T25+T21+T16</f>
        <v>0</v>
      </c>
      <c r="U33" s="160">
        <f t="shared" ref="U33" si="40">U31+U25+U21+U16</f>
        <v>283023.18961817428</v>
      </c>
      <c r="V33" s="160">
        <f>SUM(G33,J33,M33,P33,S33)</f>
        <v>34071863.740000002</v>
      </c>
      <c r="W33" s="266">
        <f>SUM(,H33,K33,N33,Q33,T33)</f>
        <v>0</v>
      </c>
      <c r="X33" s="275">
        <f>SUM(I33,L33,O33,R33,U33)</f>
        <v>34071863.740000002</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82" t="s">
        <v>234</v>
      </c>
      <c r="B35" s="483"/>
      <c r="C35" s="483"/>
      <c r="D35" s="483"/>
      <c r="E35" s="483"/>
      <c r="F35" s="483"/>
      <c r="G35" s="483"/>
      <c r="H35" s="483"/>
      <c r="I35" s="483"/>
      <c r="J35" s="483"/>
      <c r="K35" s="483"/>
      <c r="L35" s="483"/>
      <c r="M35" s="483"/>
      <c r="N35" s="483"/>
      <c r="O35" s="483"/>
      <c r="P35" s="483"/>
      <c r="Q35" s="483"/>
      <c r="R35" s="483"/>
      <c r="S35" s="483"/>
      <c r="T35" s="483"/>
      <c r="U35" s="483"/>
      <c r="V35" s="483"/>
      <c r="W35" s="483"/>
      <c r="X35" s="484"/>
      <c r="Y35" s="140"/>
    </row>
    <row r="36" spans="1:25" s="22" customFormat="1" x14ac:dyDescent="0.35">
      <c r="A36" s="155">
        <v>15</v>
      </c>
      <c r="B36" s="473" t="s">
        <v>292</v>
      </c>
      <c r="C36" s="474"/>
      <c r="D36" s="474"/>
      <c r="E36" s="474"/>
      <c r="F36" s="475"/>
      <c r="G36" s="157">
        <f>'As-Filed Schedule 1'!E35</f>
        <v>78350.45</v>
      </c>
      <c r="H36" s="263">
        <f>SUMIFS(Adjustments!$G:$G,Adjustments!$H:$H,"1",Adjustments!$I:$I,$G$9,Adjustments!$J:$J,$A36)</f>
        <v>0</v>
      </c>
      <c r="I36" s="274">
        <f t="shared" ref="I36:I38" si="41">SUM(G36:H36)</f>
        <v>78350.45</v>
      </c>
      <c r="J36" s="157">
        <f>'As-Filed Schedule 1'!F35</f>
        <v>975486.40624377632</v>
      </c>
      <c r="K36" s="263">
        <f>SUMIFS(Adjustments!$G:$G,Adjustments!$H:$H,"1",Adjustments!$I:$I,$J$9,Adjustments!$J:$J,$A36)</f>
        <v>0</v>
      </c>
      <c r="L36" s="274">
        <f t="shared" ref="L36:L38" si="42">SUM(J36:K36)</f>
        <v>975486.40624377632</v>
      </c>
      <c r="M36" s="157">
        <f>'As-Filed Schedule 1'!G35</f>
        <v>215943.17668175983</v>
      </c>
      <c r="N36" s="263">
        <f>SUMIFS(Adjustments!$G:$G,Adjustments!$H:$H,"1",Adjustments!$I:$I,$M$9,Adjustments!$J:$J,$A36)</f>
        <v>0</v>
      </c>
      <c r="O36" s="274">
        <f t="shared" ref="O36:O38" si="43">SUM(M36:N36)</f>
        <v>215943.17668175983</v>
      </c>
      <c r="P36" s="157">
        <f>'As-Filed Schedule 1'!H35</f>
        <v>34171.407074463903</v>
      </c>
      <c r="Q36" s="263">
        <f>SUMIFS(Adjustments!$G:$G,Adjustments!$H:$H,"1",Adjustments!$I:$I,$P$9,Adjustments!$J:$J,$A36)</f>
        <v>0</v>
      </c>
      <c r="R36" s="274">
        <f t="shared" ref="R36:R38" si="44">SUM(P36:Q36)</f>
        <v>34171.407074463903</v>
      </c>
      <c r="S36" s="157">
        <f>'As-Filed Schedule 1'!I35</f>
        <v>0</v>
      </c>
      <c r="T36" s="263">
        <f>SUMIFS(Adjustments!$G:$G,Adjustments!$H:$H,"1",Adjustments!$I:$I,$S$9,Adjustments!$J:$J,$A36)</f>
        <v>0</v>
      </c>
      <c r="U36" s="274">
        <f>SUM(S36:T36)</f>
        <v>0</v>
      </c>
      <c r="V36" s="160">
        <f t="shared" ref="V36:V39" si="45">SUM(G36,J36,M36,P36,S36)</f>
        <v>1303951.44</v>
      </c>
      <c r="W36" s="266">
        <f t="shared" ref="W36:W39" si="46">SUM(,H36,K36,N36,Q36,T36)</f>
        <v>0</v>
      </c>
      <c r="X36" s="275">
        <f t="shared" ref="X36:X39" si="47">SUM(I36,L36,O36,R36,U36)</f>
        <v>1303951.44</v>
      </c>
      <c r="Y36" s="140"/>
    </row>
    <row r="37" spans="1:25" s="22" customFormat="1" x14ac:dyDescent="0.35">
      <c r="A37" s="155">
        <v>16</v>
      </c>
      <c r="B37" s="473" t="s">
        <v>227</v>
      </c>
      <c r="C37" s="474"/>
      <c r="D37" s="474"/>
      <c r="E37" s="474"/>
      <c r="F37" s="475"/>
      <c r="G37" s="157">
        <f>'As-Filed Schedule 1'!E36</f>
        <v>0</v>
      </c>
      <c r="H37" s="263">
        <f>SUMIFS(Adjustments!$G:$G,Adjustments!$H:$H,"1",Adjustments!$I:$I,$G$9,Adjustments!$J:$J,$A37)</f>
        <v>0</v>
      </c>
      <c r="I37" s="274">
        <f t="shared" si="41"/>
        <v>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0</v>
      </c>
      <c r="W37" s="266">
        <f t="shared" si="46"/>
        <v>0</v>
      </c>
      <c r="X37" s="275">
        <f t="shared" si="47"/>
        <v>0</v>
      </c>
    </row>
    <row r="38" spans="1:25" s="22" customFormat="1" x14ac:dyDescent="0.35">
      <c r="A38" s="166">
        <v>17</v>
      </c>
      <c r="B38" s="473" t="s">
        <v>459</v>
      </c>
      <c r="C38" s="474"/>
      <c r="D38" s="474"/>
      <c r="E38" s="474"/>
      <c r="F38" s="475"/>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79" t="s">
        <v>226</v>
      </c>
      <c r="C39" s="480"/>
      <c r="D39" s="480"/>
      <c r="E39" s="480"/>
      <c r="F39" s="481"/>
      <c r="G39" s="160">
        <f>SUM(G36:G38)</f>
        <v>78350.45</v>
      </c>
      <c r="H39" s="160">
        <f t="shared" ref="H39:I39" si="49">SUM(H36:H38)</f>
        <v>0</v>
      </c>
      <c r="I39" s="160">
        <f t="shared" si="49"/>
        <v>78350.45</v>
      </c>
      <c r="J39" s="160">
        <f>SUM(J36:J38)</f>
        <v>975486.40624377632</v>
      </c>
      <c r="K39" s="160">
        <f t="shared" ref="K39:L39" si="50">SUM(K36:K38)</f>
        <v>0</v>
      </c>
      <c r="L39" s="160">
        <f t="shared" si="50"/>
        <v>975486.40624377632</v>
      </c>
      <c r="M39" s="160">
        <f t="shared" ref="M39:U39" si="51">SUM(M36:M38)</f>
        <v>215943.17668175983</v>
      </c>
      <c r="N39" s="160">
        <f t="shared" si="51"/>
        <v>0</v>
      </c>
      <c r="O39" s="160">
        <f t="shared" si="51"/>
        <v>215943.17668175983</v>
      </c>
      <c r="P39" s="160">
        <f t="shared" si="51"/>
        <v>34171.407074463903</v>
      </c>
      <c r="Q39" s="160">
        <f t="shared" si="51"/>
        <v>0</v>
      </c>
      <c r="R39" s="160">
        <f t="shared" si="51"/>
        <v>34171.407074463903</v>
      </c>
      <c r="S39" s="160">
        <f t="shared" si="51"/>
        <v>0</v>
      </c>
      <c r="T39" s="160">
        <f t="shared" si="51"/>
        <v>0</v>
      </c>
      <c r="U39" s="160">
        <f t="shared" si="51"/>
        <v>0</v>
      </c>
      <c r="V39" s="160">
        <f t="shared" si="45"/>
        <v>1303951.44</v>
      </c>
      <c r="W39" s="266">
        <f t="shared" si="46"/>
        <v>0</v>
      </c>
      <c r="X39" s="275">
        <f t="shared" si="47"/>
        <v>1303951.44</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79" t="s">
        <v>229</v>
      </c>
      <c r="C41" s="480"/>
      <c r="D41" s="480"/>
      <c r="E41" s="480"/>
      <c r="F41" s="481"/>
      <c r="G41" s="160">
        <f>G39+G33</f>
        <v>10190973.070381826</v>
      </c>
      <c r="H41" s="160">
        <f>H39+H33</f>
        <v>0</v>
      </c>
      <c r="I41" s="160">
        <f>I39+I33</f>
        <v>10190973.070381826</v>
      </c>
      <c r="J41" s="160">
        <f>J39+J33</f>
        <v>20233393.826904852</v>
      </c>
      <c r="K41" s="160">
        <f t="shared" ref="K41:L41" si="52">K39+K33</f>
        <v>0</v>
      </c>
      <c r="L41" s="160">
        <f t="shared" si="52"/>
        <v>20233393.826904852</v>
      </c>
      <c r="M41" s="160">
        <f>M39+M33</f>
        <v>2986300.7993474491</v>
      </c>
      <c r="N41" s="160">
        <f t="shared" ref="N41" si="53">N39+N33</f>
        <v>0</v>
      </c>
      <c r="O41" s="160">
        <f>O39+O33</f>
        <v>2986300.7993474491</v>
      </c>
      <c r="P41" s="160">
        <f>P39+P33</f>
        <v>1682124.293747697</v>
      </c>
      <c r="Q41" s="160">
        <f t="shared" ref="Q41" si="54">Q39+Q33</f>
        <v>0</v>
      </c>
      <c r="R41" s="160">
        <f>R39+R33</f>
        <v>1682124.293747697</v>
      </c>
      <c r="S41" s="160">
        <f>S39+S33</f>
        <v>283023.18961817428</v>
      </c>
      <c r="T41" s="160">
        <f t="shared" ref="T41:U41" si="55">T39+T33</f>
        <v>0</v>
      </c>
      <c r="U41" s="160">
        <f t="shared" si="55"/>
        <v>283023.18961817428</v>
      </c>
      <c r="V41" s="160">
        <f>SUM(G41,J41,M41,P41,S41)</f>
        <v>35375815.18</v>
      </c>
      <c r="W41" s="266">
        <f>SUM(,H41,K41,N41,Q41,T41)</f>
        <v>0</v>
      </c>
      <c r="X41" s="275">
        <f>SUM(I41,L41,O41,R41,U41)</f>
        <v>35375815.18</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82" t="s">
        <v>487</v>
      </c>
      <c r="B43" s="483"/>
      <c r="C43" s="483"/>
      <c r="D43" s="483"/>
      <c r="E43" s="483"/>
      <c r="F43" s="483"/>
      <c r="G43" s="483"/>
      <c r="H43" s="483"/>
      <c r="I43" s="483"/>
      <c r="J43" s="483"/>
      <c r="K43" s="483"/>
      <c r="L43" s="483"/>
      <c r="M43" s="483"/>
      <c r="N43" s="483"/>
      <c r="O43" s="483"/>
      <c r="P43" s="483"/>
      <c r="Q43" s="483"/>
      <c r="R43" s="483"/>
      <c r="S43" s="483"/>
      <c r="T43" s="483"/>
      <c r="U43" s="483"/>
      <c r="V43" s="483"/>
      <c r="W43" s="483"/>
      <c r="X43" s="484"/>
      <c r="Y43" s="140"/>
    </row>
    <row r="44" spans="1:25" s="22" customFormat="1" x14ac:dyDescent="0.35">
      <c r="A44" s="155">
        <v>20</v>
      </c>
      <c r="B44" s="473" t="s">
        <v>283</v>
      </c>
      <c r="C44" s="474"/>
      <c r="D44" s="474"/>
      <c r="E44" s="474"/>
      <c r="F44" s="475"/>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473" t="s">
        <v>230</v>
      </c>
      <c r="C45" s="474"/>
      <c r="D45" s="474"/>
      <c r="E45" s="474"/>
      <c r="F45" s="475"/>
      <c r="G45" s="157">
        <f>'As-Filed Schedule 1'!E44</f>
        <v>0</v>
      </c>
      <c r="H45" s="263">
        <f>SUMIFS(Adjustments!$G:$G,Adjustments!$H:$H,"1",Adjustments!$I:$I,$G$9,Adjustments!$J:$J,$A45)</f>
        <v>0</v>
      </c>
      <c r="I45" s="274">
        <f>SUM(G45:H45)</f>
        <v>0</v>
      </c>
      <c r="J45" s="157">
        <f>'As-Filed Schedule 1'!F44</f>
        <v>12656.248931312588</v>
      </c>
      <c r="K45" s="263">
        <f>SUMIFS(Adjustments!$G:$G,Adjustments!$H:$H,"1",Adjustments!$I:$I,$J$9,Adjustments!$J:$J,$A45)</f>
        <v>0</v>
      </c>
      <c r="L45" s="274">
        <f t="shared" si="56"/>
        <v>12656.248931312588</v>
      </c>
      <c r="M45" s="157">
        <f>'As-Filed Schedule 1'!G44</f>
        <v>1687.5987779919867</v>
      </c>
      <c r="N45" s="263">
        <f>SUMIFS(Adjustments!$G:$G,Adjustments!$H:$H,"1",Adjustments!$I:$I,$M$9,Adjustments!$J:$J,$A45)</f>
        <v>0</v>
      </c>
      <c r="O45" s="274">
        <f t="shared" si="57"/>
        <v>1687.5987779919867</v>
      </c>
      <c r="P45" s="157">
        <f>'As-Filed Schedule 1'!H44</f>
        <v>371.85229069542567</v>
      </c>
      <c r="Q45" s="263">
        <f>SUMIFS(Adjustments!$G:$G,Adjustments!$H:$H,"1",Adjustments!$I:$I,$P$9,Adjustments!$J:$J,$A45)</f>
        <v>0</v>
      </c>
      <c r="R45" s="274">
        <f t="shared" si="58"/>
        <v>371.85229069542567</v>
      </c>
      <c r="S45" s="157">
        <f>'As-Filed Schedule 1'!I44</f>
        <v>0</v>
      </c>
      <c r="T45" s="263">
        <f>SUMIFS(Adjustments!$G:$G,Adjustments!$H:$H,"1",Adjustments!$I:$I,$S$9,Adjustments!$J:$J,$A45)</f>
        <v>0</v>
      </c>
      <c r="U45" s="274">
        <f t="shared" si="59"/>
        <v>0</v>
      </c>
      <c r="V45" s="160">
        <f t="shared" si="60"/>
        <v>14715.7</v>
      </c>
      <c r="W45" s="266">
        <f t="shared" si="61"/>
        <v>0</v>
      </c>
      <c r="X45" s="275">
        <f t="shared" si="62"/>
        <v>14715.7</v>
      </c>
      <c r="Y45" s="140"/>
    </row>
    <row r="46" spans="1:25" s="22" customFormat="1" x14ac:dyDescent="0.35">
      <c r="A46" s="155">
        <v>22</v>
      </c>
      <c r="B46" s="473" t="s">
        <v>288</v>
      </c>
      <c r="C46" s="474"/>
      <c r="D46" s="474"/>
      <c r="E46" s="474"/>
      <c r="F46" s="475"/>
      <c r="G46" s="157">
        <f>'As-Filed Schedule 1'!E45</f>
        <v>0</v>
      </c>
      <c r="H46" s="263">
        <f>SUMIFS(Adjustments!$G:$G,Adjustments!$H:$H,"1",Adjustments!$I:$I,$G$9,Adjustments!$J:$J,$A46)</f>
        <v>0</v>
      </c>
      <c r="I46" s="274">
        <f t="shared" ref="I46" si="63">SUM(G46:H46)</f>
        <v>0</v>
      </c>
      <c r="J46" s="157">
        <f>'As-Filed Schedule 1'!F45</f>
        <v>4295.5632435836014</v>
      </c>
      <c r="K46" s="263">
        <f>SUMIFS(Adjustments!$G:$G,Adjustments!$H:$H,"1",Adjustments!$I:$I,$J$9,Adjustments!$J:$J,$A46)</f>
        <v>0</v>
      </c>
      <c r="L46" s="274">
        <f t="shared" si="56"/>
        <v>4295.5632435836014</v>
      </c>
      <c r="M46" s="157">
        <f>'As-Filed Schedule 1'!G45</f>
        <v>242939.73046987376</v>
      </c>
      <c r="N46" s="263">
        <f>SUMIFS(Adjustments!$G:$G,Adjustments!$H:$H,"1",Adjustments!$I:$I,$M$9,Adjustments!$J:$J,$A46)</f>
        <v>0</v>
      </c>
      <c r="O46" s="274">
        <f t="shared" si="57"/>
        <v>242939.73046987376</v>
      </c>
      <c r="P46" s="157">
        <f>'As-Filed Schedule 1'!H45</f>
        <v>652.8762865426288</v>
      </c>
      <c r="Q46" s="263">
        <f>SUMIFS(Adjustments!$G:$G,Adjustments!$H:$H,"1",Adjustments!$I:$I,$P$9,Adjustments!$J:$J,$A46)</f>
        <v>0</v>
      </c>
      <c r="R46" s="274">
        <f t="shared" si="58"/>
        <v>652.8762865426288</v>
      </c>
      <c r="S46" s="157">
        <f>'As-Filed Schedule 1'!I45</f>
        <v>0</v>
      </c>
      <c r="T46" s="263">
        <f>SUMIFS(Adjustments!$G:$G,Adjustments!$H:$H,"1",Adjustments!$I:$I,$S$9,Adjustments!$J:$J,$A46)</f>
        <v>0</v>
      </c>
      <c r="U46" s="274">
        <f t="shared" si="59"/>
        <v>0</v>
      </c>
      <c r="V46" s="160">
        <f t="shared" si="60"/>
        <v>247888.16999999998</v>
      </c>
      <c r="W46" s="266">
        <f t="shared" si="61"/>
        <v>0</v>
      </c>
      <c r="X46" s="275">
        <f t="shared" si="62"/>
        <v>247888.16999999998</v>
      </c>
      <c r="Y46" s="140"/>
    </row>
    <row r="47" spans="1:25" s="22" customFormat="1" x14ac:dyDescent="0.35">
      <c r="A47" s="155">
        <v>23</v>
      </c>
      <c r="B47" s="473" t="s">
        <v>284</v>
      </c>
      <c r="C47" s="474"/>
      <c r="D47" s="474"/>
      <c r="E47" s="474"/>
      <c r="F47" s="475"/>
      <c r="G47" s="157">
        <f>'As-Filed Schedule 1'!E46</f>
        <v>0</v>
      </c>
      <c r="H47" s="263">
        <f>SUMIFS(Adjustments!$G:$G,Adjustments!$H:$H,"1",Adjustments!$I:$I,$G$9,Adjustments!$J:$J,$A47)</f>
        <v>0</v>
      </c>
      <c r="I47" s="274">
        <f>SUM(G47:H47)</f>
        <v>0</v>
      </c>
      <c r="J47" s="157">
        <f>'As-Filed Schedule 1'!F46</f>
        <v>0</v>
      </c>
      <c r="K47" s="263">
        <f>SUMIFS(Adjustments!$G:$G,Adjustments!$H:$H,"1",Adjustments!$I:$I,$J$9,Adjustments!$J:$J,$A47)</f>
        <v>0</v>
      </c>
      <c r="L47" s="274">
        <f t="shared" si="56"/>
        <v>0</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0</v>
      </c>
      <c r="W47" s="266">
        <f t="shared" si="61"/>
        <v>0</v>
      </c>
      <c r="X47" s="275">
        <f t="shared" si="62"/>
        <v>0</v>
      </c>
      <c r="Y47" s="140"/>
    </row>
    <row r="48" spans="1:25" s="22" customFormat="1" x14ac:dyDescent="0.35">
      <c r="A48" s="155">
        <v>24</v>
      </c>
      <c r="B48" s="473" t="s">
        <v>314</v>
      </c>
      <c r="C48" s="474"/>
      <c r="D48" s="474"/>
      <c r="E48" s="474"/>
      <c r="F48" s="475"/>
      <c r="G48" s="157">
        <f>'As-Filed Schedule 1'!E47</f>
        <v>0</v>
      </c>
      <c r="H48" s="263">
        <f>SUMIFS(Adjustments!$G:$G,Adjustments!$H:$H,"1",Adjustments!$I:$I,$G$9,Adjustments!$J:$J,$A48)</f>
        <v>0</v>
      </c>
      <c r="I48" s="274">
        <f>SUM(G48:H48)</f>
        <v>0</v>
      </c>
      <c r="J48" s="157">
        <f>'As-Filed Schedule 1'!F47</f>
        <v>0</v>
      </c>
      <c r="K48" s="263">
        <f>SUMIFS(Adjustments!$G:$G,Adjustments!$H:$H,"1",Adjustments!$I:$I,$J$9,Adjustments!$J:$J,$A48)</f>
        <v>0</v>
      </c>
      <c r="L48" s="274">
        <f t="shared" si="56"/>
        <v>0</v>
      </c>
      <c r="M48" s="157">
        <f>'As-Filed Schedule 1'!G47</f>
        <v>14094.42</v>
      </c>
      <c r="N48" s="263">
        <f>SUMIFS(Adjustments!$G:$G,Adjustments!$H:$H,"1",Adjustments!$I:$I,$M$9,Adjustments!$J:$J,$A48)</f>
        <v>0</v>
      </c>
      <c r="O48" s="274">
        <f t="shared" si="57"/>
        <v>14094.42</v>
      </c>
      <c r="P48" s="157">
        <f>'As-Filed Schedule 1'!H47</f>
        <v>19262.349999999999</v>
      </c>
      <c r="Q48" s="263">
        <f>SUMIFS(Adjustments!$G:$G,Adjustments!$H:$H,"1",Adjustments!$I:$I,$P$9,Adjustments!$J:$J,$A48)</f>
        <v>0</v>
      </c>
      <c r="R48" s="274">
        <f t="shared" si="58"/>
        <v>19262.349999999999</v>
      </c>
      <c r="S48" s="157">
        <f>'As-Filed Schedule 1'!I47</f>
        <v>0</v>
      </c>
      <c r="T48" s="263">
        <f>SUMIFS(Adjustments!$G:$G,Adjustments!$H:$H,"1",Adjustments!$I:$I,$S$9,Adjustments!$J:$J,$A48)</f>
        <v>0</v>
      </c>
      <c r="U48" s="274">
        <f t="shared" si="59"/>
        <v>0</v>
      </c>
      <c r="V48" s="160">
        <f t="shared" si="60"/>
        <v>33356.769999999997</v>
      </c>
      <c r="W48" s="266">
        <f>SUM(,H48,K48,N48,Q48,T48)</f>
        <v>0</v>
      </c>
      <c r="X48" s="275">
        <f t="shared" si="62"/>
        <v>33356.769999999997</v>
      </c>
      <c r="Y48" s="140"/>
    </row>
    <row r="49" spans="1:25" s="22" customFormat="1" x14ac:dyDescent="0.35">
      <c r="A49" s="155">
        <v>25</v>
      </c>
      <c r="B49" s="473" t="s">
        <v>775</v>
      </c>
      <c r="C49" s="474"/>
      <c r="D49" s="474"/>
      <c r="E49" s="474"/>
      <c r="F49" s="475"/>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59" t="s">
        <v>452</v>
      </c>
      <c r="C50" s="560"/>
      <c r="D50" s="560"/>
      <c r="E50" s="560"/>
      <c r="F50" s="561"/>
      <c r="G50" s="157">
        <f>'As-Filed Schedule 1'!E49</f>
        <v>28201.519999999997</v>
      </c>
      <c r="H50" s="263">
        <f>SUMIFS(Adjustments!$G:$G,Adjustments!$H:$H,"1",Adjustments!$I:$I,$G$9,Adjustments!$J:$J,$A50)</f>
        <v>0</v>
      </c>
      <c r="I50" s="274">
        <f>SUM(G50:H50)</f>
        <v>28201.519999999997</v>
      </c>
      <c r="J50" s="157">
        <f>'As-Filed Schedule 1'!F49</f>
        <v>185857.18314157706</v>
      </c>
      <c r="K50" s="263">
        <f>SUMIFS(Adjustments!$G:$G,Adjustments!$H:$H,"1",Adjustments!$I:$I,$J$9,Adjustments!$J:$J,$A50)</f>
        <v>0</v>
      </c>
      <c r="L50" s="274">
        <f t="shared" si="56"/>
        <v>185857.18314157706</v>
      </c>
      <c r="M50" s="157">
        <f>'As-Filed Schedule 1'!G49</f>
        <v>30661.807063922417</v>
      </c>
      <c r="N50" s="263">
        <f>SUMIFS(Adjustments!$G:$G,Adjustments!$H:$H,"1",Adjustments!$I:$I,$M$9,Adjustments!$J:$J,$A50)</f>
        <v>0</v>
      </c>
      <c r="O50" s="274">
        <f t="shared" si="57"/>
        <v>30661.807063922417</v>
      </c>
      <c r="P50" s="157">
        <f>'As-Filed Schedule 1'!H49</f>
        <v>10129.249794500534</v>
      </c>
      <c r="Q50" s="263">
        <f>SUMIFS(Adjustments!$G:$G,Adjustments!$H:$H,"1",Adjustments!$I:$I,$P$9,Adjustments!$J:$J,$A50)</f>
        <v>0</v>
      </c>
      <c r="R50" s="274">
        <f t="shared" si="58"/>
        <v>10129.249794500534</v>
      </c>
      <c r="S50" s="157">
        <f>'As-Filed Schedule 1'!I49</f>
        <v>0</v>
      </c>
      <c r="T50" s="263">
        <f>SUMIFS(Adjustments!$G:$G,Adjustments!$H:$H,"1",Adjustments!$I:$I,$S$9,Adjustments!$J:$J,$A50)</f>
        <v>0</v>
      </c>
      <c r="U50" s="274">
        <f t="shared" si="59"/>
        <v>0</v>
      </c>
      <c r="V50" s="160">
        <f t="shared" si="60"/>
        <v>254849.76</v>
      </c>
      <c r="W50" s="266">
        <f t="shared" si="61"/>
        <v>0</v>
      </c>
      <c r="X50" s="275">
        <f t="shared" si="62"/>
        <v>254849.76</v>
      </c>
      <c r="Y50" s="140"/>
    </row>
    <row r="51" spans="1:25" s="22" customFormat="1" x14ac:dyDescent="0.35">
      <c r="A51" s="155">
        <v>27</v>
      </c>
      <c r="B51" s="479" t="s">
        <v>238</v>
      </c>
      <c r="C51" s="480"/>
      <c r="D51" s="480"/>
      <c r="E51" s="480"/>
      <c r="F51" s="481"/>
      <c r="G51" s="160">
        <f t="shared" ref="G51:U51" si="70">SUM(G44:G50)</f>
        <v>28201.519999999997</v>
      </c>
      <c r="H51" s="160">
        <f t="shared" si="70"/>
        <v>0</v>
      </c>
      <c r="I51" s="160">
        <f t="shared" si="70"/>
        <v>28201.519999999997</v>
      </c>
      <c r="J51" s="160">
        <f t="shared" si="70"/>
        <v>202808.99531647324</v>
      </c>
      <c r="K51" s="160">
        <f t="shared" si="70"/>
        <v>0</v>
      </c>
      <c r="L51" s="160">
        <f t="shared" si="70"/>
        <v>202808.99531647324</v>
      </c>
      <c r="M51" s="160">
        <f t="shared" si="70"/>
        <v>289383.55631178815</v>
      </c>
      <c r="N51" s="160">
        <f t="shared" si="70"/>
        <v>0</v>
      </c>
      <c r="O51" s="160">
        <f t="shared" si="70"/>
        <v>289383.55631178815</v>
      </c>
      <c r="P51" s="160">
        <f t="shared" si="70"/>
        <v>30416.328371738586</v>
      </c>
      <c r="Q51" s="160">
        <f t="shared" si="70"/>
        <v>0</v>
      </c>
      <c r="R51" s="160">
        <f t="shared" si="70"/>
        <v>30416.328371738586</v>
      </c>
      <c r="S51" s="160">
        <f t="shared" si="70"/>
        <v>0</v>
      </c>
      <c r="T51" s="160">
        <f t="shared" si="70"/>
        <v>0</v>
      </c>
      <c r="U51" s="160">
        <f t="shared" si="70"/>
        <v>0</v>
      </c>
      <c r="V51" s="160">
        <f t="shared" si="60"/>
        <v>550810.39999999991</v>
      </c>
      <c r="W51" s="266">
        <f t="shared" si="61"/>
        <v>0</v>
      </c>
      <c r="X51" s="275">
        <f t="shared" si="62"/>
        <v>550810.39999999991</v>
      </c>
      <c r="Y51" s="140"/>
    </row>
    <row r="52" spans="1:25" s="22" customFormat="1" x14ac:dyDescent="0.35">
      <c r="A52" s="161"/>
      <c r="B52" s="562"/>
      <c r="C52" s="562"/>
      <c r="D52" s="562"/>
      <c r="E52" s="562"/>
      <c r="F52" s="562"/>
      <c r="G52" s="562"/>
      <c r="H52" s="562"/>
      <c r="I52" s="562"/>
      <c r="J52" s="562"/>
      <c r="K52" s="562"/>
      <c r="L52" s="562"/>
      <c r="M52" s="562"/>
      <c r="N52" s="270"/>
      <c r="O52" s="280"/>
      <c r="P52" s="164"/>
      <c r="Q52" s="267"/>
      <c r="R52" s="276"/>
      <c r="S52" s="164"/>
      <c r="T52" s="267"/>
      <c r="U52" s="276"/>
      <c r="V52" s="164"/>
      <c r="W52" s="267"/>
      <c r="X52" s="276"/>
      <c r="Y52" s="140"/>
    </row>
    <row r="53" spans="1:25" s="22" customFormat="1" x14ac:dyDescent="0.35">
      <c r="A53" s="482" t="s">
        <v>233</v>
      </c>
      <c r="B53" s="483"/>
      <c r="C53" s="483"/>
      <c r="D53" s="483"/>
      <c r="E53" s="483"/>
      <c r="F53" s="483"/>
      <c r="G53" s="483"/>
      <c r="H53" s="483"/>
      <c r="I53" s="483"/>
      <c r="J53" s="483"/>
      <c r="K53" s="483"/>
      <c r="L53" s="483"/>
      <c r="M53" s="483"/>
      <c r="N53" s="483"/>
      <c r="O53" s="483"/>
      <c r="P53" s="483"/>
      <c r="Q53" s="483"/>
      <c r="R53" s="483"/>
      <c r="S53" s="483"/>
      <c r="T53" s="483"/>
      <c r="U53" s="483"/>
      <c r="V53" s="483"/>
      <c r="W53" s="483"/>
      <c r="X53" s="484"/>
      <c r="Y53" s="140"/>
    </row>
    <row r="54" spans="1:25" s="22" customFormat="1" x14ac:dyDescent="0.35">
      <c r="A54" s="155">
        <v>28</v>
      </c>
      <c r="B54" s="473" t="s">
        <v>282</v>
      </c>
      <c r="C54" s="474"/>
      <c r="D54" s="474"/>
      <c r="E54" s="474"/>
      <c r="F54" s="475"/>
      <c r="G54" s="157">
        <f>'As-Filed Schedule 1'!E53</f>
        <v>446482.46000000008</v>
      </c>
      <c r="H54" s="263">
        <f>SUMIFS(Adjustments!$G:$G,Adjustments!$H:$H,"1",Adjustments!$I:$I,$G$9,Adjustments!$J:$J,$A54)</f>
        <v>0</v>
      </c>
      <c r="I54" s="274">
        <f t="shared" ref="I54:I57" si="71">SUM(G54:H54)</f>
        <v>446482.46000000008</v>
      </c>
      <c r="J54" s="157">
        <f>'As-Filed Schedule 1'!F53</f>
        <v>327559.23328029522</v>
      </c>
      <c r="K54" s="263">
        <f>SUMIFS(Adjustments!$G:$G,Adjustments!$H:$H,"1",Adjustments!$I:$I,$J$9,Adjustments!$J:$J,$A54)</f>
        <v>0</v>
      </c>
      <c r="L54" s="274">
        <f t="shared" ref="L54:L57" si="72">SUM(J54:K54)</f>
        <v>327559.23328029522</v>
      </c>
      <c r="M54" s="157">
        <f>'As-Filed Schedule 1'!G53</f>
        <v>56544.301082322534</v>
      </c>
      <c r="N54" s="263">
        <f>SUMIFS(Adjustments!$G:$G,Adjustments!$H:$H,"1",Adjustments!$I:$I,$M$9,Adjustments!$J:$J,$A54)</f>
        <v>0</v>
      </c>
      <c r="O54" s="274">
        <f t="shared" ref="O54:O57" si="73">SUM(M54:N54)</f>
        <v>56544.301082322534</v>
      </c>
      <c r="P54" s="157">
        <f>'As-Filed Schedule 1'!H53</f>
        <v>27759.00563738227</v>
      </c>
      <c r="Q54" s="263">
        <f>SUMIFS(Adjustments!$G:$G,Adjustments!$H:$H,"1",Adjustments!$I:$I,$P$9,Adjustments!$J:$J,$A54)</f>
        <v>0</v>
      </c>
      <c r="R54" s="274">
        <f t="shared" ref="R54:R57" si="74">SUM(P54:Q54)</f>
        <v>27759.00563738227</v>
      </c>
      <c r="S54" s="157">
        <f>'As-Filed Schedule 1'!I53</f>
        <v>0</v>
      </c>
      <c r="T54" s="263">
        <f>SUMIFS(Adjustments!$G:$G,Adjustments!$H:$H,"1",Adjustments!$I:$I,$S$9,Adjustments!$J:$J,$A54)</f>
        <v>0</v>
      </c>
      <c r="U54" s="274">
        <f t="shared" ref="U54:U57" si="75">SUM(S54:T54)</f>
        <v>0</v>
      </c>
      <c r="V54" s="160">
        <f t="shared" ref="V54:V58" si="76">SUM(G54,J54,M54,P54,S54)</f>
        <v>858345</v>
      </c>
      <c r="W54" s="266">
        <f t="shared" ref="W54:W58" si="77">SUM(,H54,K54,N54,Q54,T54)</f>
        <v>0</v>
      </c>
      <c r="X54" s="275">
        <f t="shared" ref="X54:X58" si="78">SUM(I54,L54,O54,R54,U54)</f>
        <v>858345</v>
      </c>
      <c r="Y54" s="140"/>
    </row>
    <row r="55" spans="1:25" s="22" customFormat="1" x14ac:dyDescent="0.35">
      <c r="A55" s="155">
        <v>29</v>
      </c>
      <c r="B55" s="473" t="s">
        <v>294</v>
      </c>
      <c r="C55" s="474"/>
      <c r="D55" s="474"/>
      <c r="E55" s="474"/>
      <c r="F55" s="475"/>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73" t="s">
        <v>295</v>
      </c>
      <c r="C56" s="474"/>
      <c r="D56" s="474"/>
      <c r="E56" s="474"/>
      <c r="F56" s="475"/>
      <c r="G56" s="157">
        <f>'As-Filed Schedule 1'!E55</f>
        <v>97205.14</v>
      </c>
      <c r="H56" s="263">
        <f>SUMIFS(Adjustments!$G:$G,Adjustments!$H:$H,"1",Adjustments!$I:$I,$G$9,Adjustments!$J:$J,$A56)</f>
        <v>0</v>
      </c>
      <c r="I56" s="274">
        <f t="shared" si="71"/>
        <v>97205.14</v>
      </c>
      <c r="J56" s="157">
        <f>'As-Filed Schedule 1'!F55</f>
        <v>212746.80229687504</v>
      </c>
      <c r="K56" s="263">
        <f>SUMIFS(Adjustments!$G:$G,Adjustments!$H:$H,"1",Adjustments!$I:$I,$J$9,Adjustments!$J:$J,$A56)</f>
        <v>0</v>
      </c>
      <c r="L56" s="274">
        <f t="shared" si="72"/>
        <v>212746.80229687504</v>
      </c>
      <c r="M56" s="157">
        <f>'As-Filed Schedule 1'!G55</f>
        <v>18071.961686189701</v>
      </c>
      <c r="N56" s="263">
        <f>SUMIFS(Adjustments!$G:$G,Adjustments!$H:$H,"1",Adjustments!$I:$I,$M$9,Adjustments!$J:$J,$A56)</f>
        <v>0</v>
      </c>
      <c r="O56" s="274">
        <f t="shared" si="73"/>
        <v>18071.961686189701</v>
      </c>
      <c r="P56" s="157">
        <f>'As-Filed Schedule 1'!H55</f>
        <v>19216.336016935249</v>
      </c>
      <c r="Q56" s="263">
        <f>SUMIFS(Adjustments!$G:$G,Adjustments!$H:$H,"1",Adjustments!$I:$I,$P$9,Adjustments!$J:$J,$A56)</f>
        <v>0</v>
      </c>
      <c r="R56" s="274">
        <f t="shared" si="74"/>
        <v>19216.336016935249</v>
      </c>
      <c r="S56" s="157">
        <f>'As-Filed Schedule 1'!I55</f>
        <v>0</v>
      </c>
      <c r="T56" s="263">
        <f>SUMIFS(Adjustments!$G:$G,Adjustments!$H:$H,"1",Adjustments!$I:$I,$S$9,Adjustments!$J:$J,$A56)</f>
        <v>0</v>
      </c>
      <c r="U56" s="274">
        <f t="shared" si="75"/>
        <v>0</v>
      </c>
      <c r="V56" s="160">
        <f t="shared" si="76"/>
        <v>347240.24</v>
      </c>
      <c r="W56" s="266">
        <f t="shared" si="77"/>
        <v>0</v>
      </c>
      <c r="X56" s="275">
        <f t="shared" si="78"/>
        <v>347240.24</v>
      </c>
      <c r="Y56" s="140"/>
    </row>
    <row r="57" spans="1:25" s="22" customFormat="1" x14ac:dyDescent="0.35">
      <c r="A57" s="155">
        <v>31</v>
      </c>
      <c r="B57" s="473" t="s">
        <v>296</v>
      </c>
      <c r="C57" s="474"/>
      <c r="D57" s="474"/>
      <c r="E57" s="474"/>
      <c r="F57" s="475"/>
      <c r="G57" s="157">
        <f>'As-Filed Schedule 1'!E56</f>
        <v>187915.02000000002</v>
      </c>
      <c r="H57" s="263">
        <f>SUMIFS(Adjustments!$G:$G,Adjustments!$H:$H,"1",Adjustments!$I:$I,$G$9,Adjustments!$J:$J,$A57)</f>
        <v>0</v>
      </c>
      <c r="I57" s="274">
        <f t="shared" si="71"/>
        <v>187915.02000000002</v>
      </c>
      <c r="J57" s="157">
        <f>'As-Filed Schedule 1'!F56</f>
        <v>160235.4961366512</v>
      </c>
      <c r="K57" s="263">
        <f>SUMIFS(Adjustments!$G:$G,Adjustments!$H:$H,"1",Adjustments!$I:$I,$J$9,Adjustments!$J:$J,$A57)</f>
        <v>0</v>
      </c>
      <c r="L57" s="274">
        <f t="shared" si="72"/>
        <v>160235.4961366512</v>
      </c>
      <c r="M57" s="157">
        <f>'As-Filed Schedule 1'!G56</f>
        <v>47895.523524335425</v>
      </c>
      <c r="N57" s="263">
        <f>SUMIFS(Adjustments!$G:$G,Adjustments!$H:$H,"1",Adjustments!$I:$I,$M$9,Adjustments!$J:$J,$A57)</f>
        <v>0</v>
      </c>
      <c r="O57" s="274">
        <f t="shared" si="73"/>
        <v>47895.523524335425</v>
      </c>
      <c r="P57" s="157">
        <f>'As-Filed Schedule 1'!H56</f>
        <v>12361.360339013365</v>
      </c>
      <c r="Q57" s="263">
        <f>SUMIFS(Adjustments!$G:$G,Adjustments!$H:$H,"1",Adjustments!$I:$I,$P$9,Adjustments!$J:$J,$A57)</f>
        <v>0</v>
      </c>
      <c r="R57" s="274">
        <f t="shared" si="74"/>
        <v>12361.360339013365</v>
      </c>
      <c r="S57" s="157">
        <f>'As-Filed Schedule 1'!I56</f>
        <v>0</v>
      </c>
      <c r="T57" s="263">
        <f>SUMIFS(Adjustments!$G:$G,Adjustments!$H:$H,"1",Adjustments!$I:$I,$S$9,Adjustments!$J:$J,$A57)</f>
        <v>0</v>
      </c>
      <c r="U57" s="274">
        <f t="shared" si="75"/>
        <v>0</v>
      </c>
      <c r="V57" s="160">
        <f t="shared" si="76"/>
        <v>408407.4</v>
      </c>
      <c r="W57" s="266">
        <f t="shared" si="77"/>
        <v>0</v>
      </c>
      <c r="X57" s="275">
        <f t="shared" si="78"/>
        <v>408407.4</v>
      </c>
      <c r="Y57" s="140"/>
    </row>
    <row r="58" spans="1:25" s="22" customFormat="1" x14ac:dyDescent="0.35">
      <c r="A58" s="155">
        <v>32</v>
      </c>
      <c r="B58" s="479" t="s">
        <v>231</v>
      </c>
      <c r="C58" s="480"/>
      <c r="D58" s="480"/>
      <c r="E58" s="480"/>
      <c r="F58" s="481"/>
      <c r="G58" s="160">
        <f>SUM(G54:G57)</f>
        <v>731602.62000000011</v>
      </c>
      <c r="H58" s="160">
        <f t="shared" ref="H58:I58" si="79">SUM(H54:H57)</f>
        <v>0</v>
      </c>
      <c r="I58" s="160">
        <f t="shared" si="79"/>
        <v>731602.62000000011</v>
      </c>
      <c r="J58" s="160">
        <f>SUM(J54:J57)</f>
        <v>700541.53171382146</v>
      </c>
      <c r="K58" s="160">
        <f t="shared" ref="K58:L58" si="80">SUM(K54:K57)</f>
        <v>0</v>
      </c>
      <c r="L58" s="160">
        <f t="shared" si="80"/>
        <v>700541.53171382146</v>
      </c>
      <c r="M58" s="160">
        <f>SUM(M54:M57)</f>
        <v>122511.78629284767</v>
      </c>
      <c r="N58" s="160">
        <f t="shared" ref="N58:O58" si="81">SUM(N54:N57)</f>
        <v>0</v>
      </c>
      <c r="O58" s="160">
        <f t="shared" si="81"/>
        <v>122511.78629284767</v>
      </c>
      <c r="P58" s="160">
        <f>SUM(P54:P57)</f>
        <v>59336.701993330884</v>
      </c>
      <c r="Q58" s="160">
        <f t="shared" ref="Q58:R58" si="82">SUM(Q54:Q57)</f>
        <v>0</v>
      </c>
      <c r="R58" s="160">
        <f t="shared" si="82"/>
        <v>59336.701993330884</v>
      </c>
      <c r="S58" s="160">
        <f>SUM(S54:S57)</f>
        <v>0</v>
      </c>
      <c r="T58" s="160">
        <f t="shared" ref="T58:U58" si="83">SUM(T54:T57)</f>
        <v>0</v>
      </c>
      <c r="U58" s="160">
        <f t="shared" si="83"/>
        <v>0</v>
      </c>
      <c r="V58" s="160">
        <f t="shared" si="76"/>
        <v>1613992.6400000001</v>
      </c>
      <c r="W58" s="266">
        <f t="shared" si="77"/>
        <v>0</v>
      </c>
      <c r="X58" s="275">
        <f t="shared" si="78"/>
        <v>1613992.6400000001</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82" t="s">
        <v>232</v>
      </c>
      <c r="B60" s="483"/>
      <c r="C60" s="483"/>
      <c r="D60" s="483"/>
      <c r="E60" s="483"/>
      <c r="F60" s="483"/>
      <c r="G60" s="483"/>
      <c r="H60" s="483"/>
      <c r="I60" s="483"/>
      <c r="J60" s="483"/>
      <c r="K60" s="483"/>
      <c r="L60" s="483"/>
      <c r="M60" s="483"/>
      <c r="N60" s="483"/>
      <c r="O60" s="483"/>
      <c r="P60" s="483"/>
      <c r="Q60" s="483"/>
      <c r="R60" s="483"/>
      <c r="S60" s="483"/>
      <c r="T60" s="483"/>
      <c r="U60" s="483"/>
      <c r="V60" s="483"/>
      <c r="W60" s="483"/>
      <c r="X60" s="484"/>
      <c r="Y60" s="140"/>
    </row>
    <row r="61" spans="1:25" s="22" customFormat="1" x14ac:dyDescent="0.35">
      <c r="A61" s="155">
        <v>33</v>
      </c>
      <c r="B61" s="559" t="s">
        <v>297</v>
      </c>
      <c r="C61" s="560"/>
      <c r="D61" s="560"/>
      <c r="E61" s="560"/>
      <c r="F61" s="561"/>
      <c r="G61" s="157">
        <f>'As-Filed Schedule 1'!E60</f>
        <v>946873.84000000008</v>
      </c>
      <c r="H61" s="263">
        <f>SUMIFS(Adjustments!$G:$G,Adjustments!$H:$H,"1",Adjustments!$I:$I,$G$9,Adjustments!$J:$J,$A61)</f>
        <v>0</v>
      </c>
      <c r="I61" s="274">
        <f t="shared" ref="I61:I67" si="84">SUM(G61:H61)</f>
        <v>946873.84000000008</v>
      </c>
      <c r="J61" s="157">
        <f>'As-Filed Schedule 1'!F60</f>
        <v>2739660.879958665</v>
      </c>
      <c r="K61" s="263">
        <f>SUMIFS(Adjustments!$G:$G,Adjustments!$H:$H,"1",Adjustments!$I:$I,$J$9,Adjustments!$J:$J,$A61)</f>
        <v>0</v>
      </c>
      <c r="L61" s="274">
        <f t="shared" ref="L61:L67" si="85">SUM(J61:K61)</f>
        <v>2739660.879958665</v>
      </c>
      <c r="M61" s="157">
        <f>'As-Filed Schedule 1'!G60</f>
        <v>330833.78430425044</v>
      </c>
      <c r="N61" s="263">
        <f>SUMIFS(Adjustments!$G:$G,Adjustments!$H:$H,"1",Adjustments!$I:$I,$M$9,Adjustments!$J:$J,$A61)</f>
        <v>0</v>
      </c>
      <c r="O61" s="274">
        <f t="shared" ref="O61:O67" si="86">SUM(M61:N61)</f>
        <v>330833.78430425044</v>
      </c>
      <c r="P61" s="157">
        <f>'As-Filed Schedule 1'!H60</f>
        <v>242764.11573708456</v>
      </c>
      <c r="Q61" s="263">
        <f>SUMIFS(Adjustments!$G:$G,Adjustments!$H:$H,"1",Adjustments!$I:$I,$P$9,Adjustments!$J:$J,$A61)</f>
        <v>0</v>
      </c>
      <c r="R61" s="274">
        <f t="shared" ref="R61:R67" si="87">SUM(P61:Q61)</f>
        <v>242764.11573708456</v>
      </c>
      <c r="S61" s="157">
        <f>'As-Filed Schedule 1'!I60</f>
        <v>0</v>
      </c>
      <c r="T61" s="263">
        <f>SUMIFS(Adjustments!$G:$G,Adjustments!$H:$H,"1",Adjustments!$I:$I,$S$9,Adjustments!$J:$J,$A61)</f>
        <v>0</v>
      </c>
      <c r="U61" s="274">
        <f t="shared" ref="U61:U67" si="88">SUM(S61:T61)</f>
        <v>0</v>
      </c>
      <c r="V61" s="160">
        <f t="shared" ref="V61:V68" si="89">SUM(G61,J61,M61,P61,S61)</f>
        <v>4260132.62</v>
      </c>
      <c r="W61" s="266">
        <f t="shared" ref="W61:W68" si="90">SUM(,H61,K61,N61,Q61,T61)</f>
        <v>0</v>
      </c>
      <c r="X61" s="275">
        <f t="shared" ref="X61:X68" si="91">SUM(I61,L61,O61,R61,U61)</f>
        <v>4260132.62</v>
      </c>
      <c r="Y61" s="140"/>
    </row>
    <row r="62" spans="1:25" s="22" customFormat="1" x14ac:dyDescent="0.35">
      <c r="A62" s="155">
        <v>34</v>
      </c>
      <c r="B62" s="559" t="s">
        <v>298</v>
      </c>
      <c r="C62" s="560"/>
      <c r="D62" s="560"/>
      <c r="E62" s="560"/>
      <c r="F62" s="561"/>
      <c r="G62" s="157">
        <f>'As-Filed Schedule 1'!E61</f>
        <v>125358.89</v>
      </c>
      <c r="H62" s="263">
        <f>SUMIFS(Adjustments!$G:$G,Adjustments!$H:$H,"1",Adjustments!$I:$I,$G$9,Adjustments!$J:$J,$A62)</f>
        <v>0</v>
      </c>
      <c r="I62" s="274">
        <f t="shared" si="84"/>
        <v>125358.89</v>
      </c>
      <c r="J62" s="157">
        <f>'As-Filed Schedule 1'!F61</f>
        <v>109757.81132874814</v>
      </c>
      <c r="K62" s="263">
        <f>SUMIFS(Adjustments!$G:$G,Adjustments!$H:$H,"1",Adjustments!$I:$I,$J$9,Adjustments!$J:$J,$A62)</f>
        <v>0</v>
      </c>
      <c r="L62" s="274">
        <f t="shared" si="85"/>
        <v>109757.81132874814</v>
      </c>
      <c r="M62" s="157">
        <f>'As-Filed Schedule 1'!G61</f>
        <v>12121.64750910455</v>
      </c>
      <c r="N62" s="263">
        <f>SUMIFS(Adjustments!$G:$G,Adjustments!$H:$H,"1",Adjustments!$I:$I,$M$9,Adjustments!$J:$J,$A62)</f>
        <v>0</v>
      </c>
      <c r="O62" s="274">
        <f t="shared" si="86"/>
        <v>12121.64750910455</v>
      </c>
      <c r="P62" s="157">
        <f>'As-Filed Schedule 1'!H61</f>
        <v>6918.7311621473091</v>
      </c>
      <c r="Q62" s="263">
        <f>SUMIFS(Adjustments!$G:$G,Adjustments!$H:$H,"1",Adjustments!$I:$I,$P$9,Adjustments!$J:$J,$A62)</f>
        <v>0</v>
      </c>
      <c r="R62" s="274">
        <f t="shared" si="87"/>
        <v>6918.7311621473091</v>
      </c>
      <c r="S62" s="157">
        <f>'As-Filed Schedule 1'!I61</f>
        <v>0</v>
      </c>
      <c r="T62" s="263">
        <f>SUMIFS(Adjustments!$G:$G,Adjustments!$H:$H,"1",Adjustments!$I:$I,$S$9,Adjustments!$J:$J,$A62)</f>
        <v>0</v>
      </c>
      <c r="U62" s="274">
        <f t="shared" si="88"/>
        <v>0</v>
      </c>
      <c r="V62" s="160">
        <f t="shared" si="89"/>
        <v>254157.08</v>
      </c>
      <c r="W62" s="266">
        <f t="shared" si="90"/>
        <v>0</v>
      </c>
      <c r="X62" s="275">
        <f t="shared" si="91"/>
        <v>254157.08</v>
      </c>
      <c r="Y62" s="140"/>
    </row>
    <row r="63" spans="1:25" s="22" customFormat="1" x14ac:dyDescent="0.35">
      <c r="A63" s="155">
        <v>35</v>
      </c>
      <c r="B63" s="559" t="s">
        <v>302</v>
      </c>
      <c r="C63" s="560"/>
      <c r="D63" s="560"/>
      <c r="E63" s="560"/>
      <c r="F63" s="561"/>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59" t="s">
        <v>315</v>
      </c>
      <c r="C64" s="560"/>
      <c r="D64" s="560"/>
      <c r="E64" s="560"/>
      <c r="F64" s="561"/>
      <c r="G64" s="157">
        <f>'As-Filed Schedule 1'!E63</f>
        <v>0</v>
      </c>
      <c r="H64" s="263">
        <f>SUMIFS(Adjustments!$G:$G,Adjustments!$H:$H,"1",Adjustments!$I:$I,$G$9,Adjustments!$J:$J,$A64)</f>
        <v>0</v>
      </c>
      <c r="I64" s="274">
        <f t="shared" si="84"/>
        <v>0</v>
      </c>
      <c r="J64" s="157">
        <f>'As-Filed Schedule 1'!F63</f>
        <v>434.4</v>
      </c>
      <c r="K64" s="263">
        <f>SUMIFS(Adjustments!$G:$G,Adjustments!$H:$H,"1",Adjustments!$I:$I,$J$9,Adjustments!$J:$J,$A64)</f>
        <v>0</v>
      </c>
      <c r="L64" s="274">
        <f t="shared" si="85"/>
        <v>434.4</v>
      </c>
      <c r="M64" s="157">
        <f>'As-Filed Schedule 1'!G63</f>
        <v>0</v>
      </c>
      <c r="N64" s="263">
        <f>SUMIFS(Adjustments!$G:$G,Adjustments!$H:$H,"1",Adjustments!$I:$I,$M$9,Adjustments!$J:$J,$A64)</f>
        <v>0</v>
      </c>
      <c r="O64" s="274">
        <f t="shared" si="86"/>
        <v>0</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434.4</v>
      </c>
      <c r="W64" s="266">
        <f t="shared" si="90"/>
        <v>0</v>
      </c>
      <c r="X64" s="275">
        <f t="shared" si="91"/>
        <v>434.4</v>
      </c>
      <c r="Y64" s="140"/>
    </row>
    <row r="65" spans="1:25" s="22" customFormat="1" x14ac:dyDescent="0.35">
      <c r="A65" s="155">
        <v>37</v>
      </c>
      <c r="B65" s="559" t="s">
        <v>316</v>
      </c>
      <c r="C65" s="560"/>
      <c r="D65" s="560"/>
      <c r="E65" s="560"/>
      <c r="F65" s="561"/>
      <c r="G65" s="157">
        <f>'As-Filed Schedule 1'!E64</f>
        <v>26181.469999999998</v>
      </c>
      <c r="H65" s="263">
        <f>SUMIFS(Adjustments!$G:$G,Adjustments!$H:$H,"1",Adjustments!$I:$I,$G$9,Adjustments!$J:$J,$A65)</f>
        <v>0</v>
      </c>
      <c r="I65" s="274">
        <f t="shared" si="84"/>
        <v>26181.469999999998</v>
      </c>
      <c r="J65" s="157">
        <f>'As-Filed Schedule 1'!F64</f>
        <v>13985.807802245487</v>
      </c>
      <c r="K65" s="263">
        <f>SUMIFS(Adjustments!$G:$G,Adjustments!$H:$H,"1",Adjustments!$I:$I,$J$9,Adjustments!$J:$J,$A65)</f>
        <v>0</v>
      </c>
      <c r="L65" s="274">
        <f t="shared" si="85"/>
        <v>13985.807802245487</v>
      </c>
      <c r="M65" s="157">
        <f>'As-Filed Schedule 1'!G64</f>
        <v>1254.7133898521197</v>
      </c>
      <c r="N65" s="263">
        <f>SUMIFS(Adjustments!$G:$G,Adjustments!$H:$H,"1",Adjustments!$I:$I,$M$9,Adjustments!$J:$J,$A65)</f>
        <v>0</v>
      </c>
      <c r="O65" s="274">
        <f t="shared" si="86"/>
        <v>1254.7133898521197</v>
      </c>
      <c r="P65" s="157">
        <f>'As-Filed Schedule 1'!H64</f>
        <v>1816.1388079023948</v>
      </c>
      <c r="Q65" s="263">
        <f>SUMIFS(Adjustments!$G:$G,Adjustments!$H:$H,"1",Adjustments!$I:$I,$P$9,Adjustments!$J:$J,$A65)</f>
        <v>0</v>
      </c>
      <c r="R65" s="274">
        <f t="shared" si="87"/>
        <v>1816.1388079023948</v>
      </c>
      <c r="S65" s="157">
        <f>'As-Filed Schedule 1'!I64</f>
        <v>0</v>
      </c>
      <c r="T65" s="263">
        <f>SUMIFS(Adjustments!$G:$G,Adjustments!$H:$H,"1",Adjustments!$I:$I,$S$9,Adjustments!$J:$J,$A65)</f>
        <v>0</v>
      </c>
      <c r="U65" s="274">
        <f t="shared" si="88"/>
        <v>0</v>
      </c>
      <c r="V65" s="160">
        <f t="shared" si="89"/>
        <v>43238.130000000005</v>
      </c>
      <c r="W65" s="266">
        <f t="shared" si="90"/>
        <v>0</v>
      </c>
      <c r="X65" s="275">
        <f t="shared" si="91"/>
        <v>43238.130000000005</v>
      </c>
      <c r="Y65" s="140"/>
    </row>
    <row r="66" spans="1:25" s="22" customFormat="1" x14ac:dyDescent="0.35">
      <c r="A66" s="155">
        <v>38</v>
      </c>
      <c r="B66" s="559" t="s">
        <v>317</v>
      </c>
      <c r="C66" s="560"/>
      <c r="D66" s="560"/>
      <c r="E66" s="560"/>
      <c r="F66" s="561"/>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59" t="s">
        <v>299</v>
      </c>
      <c r="C67" s="560"/>
      <c r="D67" s="560"/>
      <c r="E67" s="560"/>
      <c r="F67" s="561"/>
      <c r="G67" s="157">
        <f>'As-Filed Schedule 1'!E66</f>
        <v>549.97</v>
      </c>
      <c r="H67" s="263">
        <f>SUMIFS(Adjustments!$G:$G,Adjustments!$H:$H,"1",Adjustments!$I:$I,$G$9,Adjustments!$J:$J,$A67)</f>
        <v>0</v>
      </c>
      <c r="I67" s="274">
        <f t="shared" si="84"/>
        <v>549.97</v>
      </c>
      <c r="J67" s="157">
        <f>'As-Filed Schedule 1'!F66</f>
        <v>7032.7748074822666</v>
      </c>
      <c r="K67" s="263">
        <f>SUMIFS(Adjustments!$G:$G,Adjustments!$H:$H,"1",Adjustments!$I:$I,$J$9,Adjustments!$J:$J,$A67)</f>
        <v>0</v>
      </c>
      <c r="L67" s="274">
        <f t="shared" si="85"/>
        <v>7032.7748074822666</v>
      </c>
      <c r="M67" s="157">
        <f>'As-Filed Schedule 1'!G66</f>
        <v>0</v>
      </c>
      <c r="N67" s="263">
        <f>SUMIFS(Adjustments!$G:$G,Adjustments!$H:$H,"1",Adjustments!$I:$I,$M$9,Adjustments!$J:$J,$A67)</f>
        <v>0</v>
      </c>
      <c r="O67" s="274">
        <f t="shared" si="86"/>
        <v>0</v>
      </c>
      <c r="P67" s="157">
        <f>'As-Filed Schedule 1'!H66</f>
        <v>365.46519251773424</v>
      </c>
      <c r="Q67" s="263">
        <f>SUMIFS(Adjustments!$G:$G,Adjustments!$H:$H,"1",Adjustments!$I:$I,$P$9,Adjustments!$J:$J,$A67)</f>
        <v>0</v>
      </c>
      <c r="R67" s="274">
        <f t="shared" si="87"/>
        <v>365.46519251773424</v>
      </c>
      <c r="S67" s="157">
        <f>'As-Filed Schedule 1'!I66</f>
        <v>0</v>
      </c>
      <c r="T67" s="263">
        <f>SUMIFS(Adjustments!$G:$G,Adjustments!$H:$H,"1",Adjustments!$I:$I,$S$9,Adjustments!$J:$J,$A67)</f>
        <v>0</v>
      </c>
      <c r="U67" s="274">
        <f t="shared" si="88"/>
        <v>0</v>
      </c>
      <c r="V67" s="160">
        <f t="shared" si="89"/>
        <v>7948.2100000000009</v>
      </c>
      <c r="W67" s="266">
        <f t="shared" si="90"/>
        <v>0</v>
      </c>
      <c r="X67" s="275">
        <f t="shared" si="91"/>
        <v>7948.2100000000009</v>
      </c>
      <c r="Y67" s="140"/>
    </row>
    <row r="68" spans="1:25" s="22" customFormat="1" x14ac:dyDescent="0.35">
      <c r="A68" s="155">
        <v>40</v>
      </c>
      <c r="B68" s="556" t="s">
        <v>237</v>
      </c>
      <c r="C68" s="557"/>
      <c r="D68" s="557"/>
      <c r="E68" s="557"/>
      <c r="F68" s="558"/>
      <c r="G68" s="160">
        <f>SUM(G61:G67)</f>
        <v>1098964.17</v>
      </c>
      <c r="H68" s="160">
        <f>SUM(H61:H67)</f>
        <v>0</v>
      </c>
      <c r="I68" s="160">
        <f>SUM(I61:I67)</f>
        <v>1098964.17</v>
      </c>
      <c r="J68" s="160">
        <f>SUM(J61:J67)</f>
        <v>2870871.6738971411</v>
      </c>
      <c r="K68" s="160">
        <f t="shared" ref="K68:L68" si="92">SUM(K61:K67)</f>
        <v>0</v>
      </c>
      <c r="L68" s="160">
        <f t="shared" si="92"/>
        <v>2870871.6738971411</v>
      </c>
      <c r="M68" s="160">
        <f>SUM(M61:M67)</f>
        <v>344210.14520320715</v>
      </c>
      <c r="N68" s="160">
        <f t="shared" ref="N68:O68" si="93">SUM(N61:N67)</f>
        <v>0</v>
      </c>
      <c r="O68" s="160">
        <f t="shared" si="93"/>
        <v>344210.14520320715</v>
      </c>
      <c r="P68" s="160">
        <f>SUM(P61:P67)</f>
        <v>251864.450899652</v>
      </c>
      <c r="Q68" s="160">
        <f>SUM(Q61:Q67)</f>
        <v>0</v>
      </c>
      <c r="R68" s="160">
        <f>SUM(R61:R67)</f>
        <v>251864.450899652</v>
      </c>
      <c r="S68" s="160">
        <f>SUM(S61:S67)</f>
        <v>0</v>
      </c>
      <c r="T68" s="160">
        <f t="shared" ref="T68:U68" si="94">SUM(T61:T67)</f>
        <v>0</v>
      </c>
      <c r="U68" s="160">
        <f t="shared" si="94"/>
        <v>0</v>
      </c>
      <c r="V68" s="160">
        <f t="shared" si="89"/>
        <v>4565910.4400000004</v>
      </c>
      <c r="W68" s="266">
        <f t="shared" si="90"/>
        <v>0</v>
      </c>
      <c r="X68" s="275">
        <f t="shared" si="91"/>
        <v>4565910.4400000004</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82" t="s">
        <v>236</v>
      </c>
      <c r="B70" s="483"/>
      <c r="C70" s="483"/>
      <c r="D70" s="483"/>
      <c r="E70" s="483"/>
      <c r="F70" s="483"/>
      <c r="G70" s="483"/>
      <c r="H70" s="483"/>
      <c r="I70" s="483"/>
      <c r="J70" s="483"/>
      <c r="K70" s="483"/>
      <c r="L70" s="483"/>
      <c r="M70" s="483"/>
      <c r="N70" s="483"/>
      <c r="O70" s="483"/>
      <c r="P70" s="483"/>
      <c r="Q70" s="483"/>
      <c r="R70" s="483"/>
      <c r="S70" s="483"/>
      <c r="T70" s="483"/>
      <c r="U70" s="483"/>
      <c r="V70" s="483"/>
      <c r="W70" s="483"/>
      <c r="X70" s="484"/>
      <c r="Y70" s="140"/>
    </row>
    <row r="71" spans="1:25" s="22" customFormat="1" x14ac:dyDescent="0.35">
      <c r="A71" s="155">
        <v>41</v>
      </c>
      <c r="B71" s="473" t="s">
        <v>239</v>
      </c>
      <c r="C71" s="474"/>
      <c r="D71" s="474"/>
      <c r="E71" s="474"/>
      <c r="F71" s="475"/>
      <c r="G71" s="157">
        <f>'As-Filed Schedule 1'!E70</f>
        <v>98579.07</v>
      </c>
      <c r="H71" s="263">
        <f>SUMIFS(Adjustments!$G:$G,Adjustments!$H:$H,"1",Adjustments!$I:$I,$G$9,Adjustments!$J:$J,$A71)</f>
        <v>0</v>
      </c>
      <c r="I71" s="274">
        <f t="shared" ref="I71:I78" si="95">SUM(G71:H71)</f>
        <v>98579.07</v>
      </c>
      <c r="J71" s="157">
        <f>'As-Filed Schedule 1'!F70</f>
        <v>20368.231464851004</v>
      </c>
      <c r="K71" s="263">
        <f>SUMIFS(Adjustments!$G:$G,Adjustments!$H:$H,"1",Adjustments!$I:$I,$J$9,Adjustments!$J:$J,$A71)</f>
        <v>0</v>
      </c>
      <c r="L71" s="274">
        <f t="shared" ref="L71:L78" si="96">SUM(J71:K71)</f>
        <v>20368.231464851004</v>
      </c>
      <c r="M71" s="157">
        <f>'As-Filed Schedule 1'!G70</f>
        <v>591.20405104911674</v>
      </c>
      <c r="N71" s="263">
        <f>SUMIFS(Adjustments!$G:$G,Adjustments!$H:$H,"1",Adjustments!$I:$I,$M$9,Adjustments!$J:$J,$A71)</f>
        <v>0</v>
      </c>
      <c r="O71" s="274">
        <f t="shared" ref="O71:O78" si="97">SUM(M71:N71)</f>
        <v>591.20405104911674</v>
      </c>
      <c r="P71" s="157">
        <f>'As-Filed Schedule 1'!H70</f>
        <v>979.48448409988157</v>
      </c>
      <c r="Q71" s="263">
        <f>SUMIFS(Adjustments!$G:$G,Adjustments!$H:$H,"1",Adjustments!$I:$I,$P$9,Adjustments!$J:$J,$A71)</f>
        <v>0</v>
      </c>
      <c r="R71" s="274">
        <f t="shared" ref="R71:R78" si="98">SUM(P71:Q71)</f>
        <v>979.48448409988157</v>
      </c>
      <c r="S71" s="157">
        <f>'As-Filed Schedule 1'!I70</f>
        <v>0</v>
      </c>
      <c r="T71" s="263">
        <f>SUMIFS(Adjustments!$G:$G,Adjustments!$H:$H,"1",Adjustments!$I:$I,$S$9,Adjustments!$J:$J,$A71)</f>
        <v>0</v>
      </c>
      <c r="U71" s="274">
        <f t="shared" ref="U71:U78" si="99">SUM(S71:T71)</f>
        <v>0</v>
      </c>
      <c r="V71" s="160">
        <f t="shared" ref="V71:V79" si="100">SUM(G71,J71,M71,P71,S71)</f>
        <v>120517.99000000002</v>
      </c>
      <c r="W71" s="266">
        <f t="shared" ref="W71:W79" si="101">SUM(,H71,K71,N71,Q71,T71)</f>
        <v>0</v>
      </c>
      <c r="X71" s="275">
        <f t="shared" ref="X71:X79" si="102">SUM(I71,L71,O71,R71,U71)</f>
        <v>120517.99000000002</v>
      </c>
      <c r="Y71" s="140"/>
    </row>
    <row r="72" spans="1:25" s="22" customFormat="1" x14ac:dyDescent="0.35">
      <c r="A72" s="155">
        <v>42</v>
      </c>
      <c r="B72" s="473" t="s">
        <v>289</v>
      </c>
      <c r="C72" s="474"/>
      <c r="D72" s="474"/>
      <c r="E72" s="474"/>
      <c r="F72" s="475"/>
      <c r="G72" s="157">
        <f>'As-Filed Schedule 1'!E71</f>
        <v>54898.71</v>
      </c>
      <c r="H72" s="263">
        <f>SUMIFS(Adjustments!$G:$G,Adjustments!$H:$H,"1",Adjustments!$I:$I,$G$9,Adjustments!$J:$J,$A72)</f>
        <v>0</v>
      </c>
      <c r="I72" s="274">
        <f t="shared" si="95"/>
        <v>54898.71</v>
      </c>
      <c r="J72" s="157">
        <f>'As-Filed Schedule 1'!F71</f>
        <v>55615.76424860071</v>
      </c>
      <c r="K72" s="263">
        <f>SUMIFS(Adjustments!$G:$G,Adjustments!$H:$H,"1",Adjustments!$I:$I,$J$9,Adjustments!$J:$J,$A72)</f>
        <v>0</v>
      </c>
      <c r="L72" s="274">
        <f t="shared" si="96"/>
        <v>55615.76424860071</v>
      </c>
      <c r="M72" s="157">
        <f>'As-Filed Schedule 1'!G71</f>
        <v>2550.4521169110549</v>
      </c>
      <c r="N72" s="263">
        <f>SUMIFS(Adjustments!$G:$G,Adjustments!$H:$H,"1",Adjustments!$I:$I,$M$9,Adjustments!$J:$J,$A72)</f>
        <v>0</v>
      </c>
      <c r="O72" s="274">
        <f t="shared" si="97"/>
        <v>2550.4521169110549</v>
      </c>
      <c r="P72" s="157">
        <f>'As-Filed Schedule 1'!H71</f>
        <v>9155.5636344882332</v>
      </c>
      <c r="Q72" s="263">
        <f>SUMIFS(Adjustments!$G:$G,Adjustments!$H:$H,"1",Adjustments!$I:$I,$P$9,Adjustments!$J:$J,$A72)</f>
        <v>0</v>
      </c>
      <c r="R72" s="274">
        <f t="shared" si="98"/>
        <v>9155.5636344882332</v>
      </c>
      <c r="S72" s="157">
        <f>'As-Filed Schedule 1'!I71</f>
        <v>0</v>
      </c>
      <c r="T72" s="263">
        <f>SUMIFS(Adjustments!$G:$G,Adjustments!$H:$H,"1",Adjustments!$I:$I,$S$9,Adjustments!$J:$J,$A72)</f>
        <v>0</v>
      </c>
      <c r="U72" s="274">
        <f t="shared" si="99"/>
        <v>0</v>
      </c>
      <c r="V72" s="160">
        <f t="shared" si="100"/>
        <v>122220.49</v>
      </c>
      <c r="W72" s="266">
        <f t="shared" si="101"/>
        <v>0</v>
      </c>
      <c r="X72" s="275">
        <f t="shared" si="102"/>
        <v>122220.49</v>
      </c>
      <c r="Y72" s="140"/>
    </row>
    <row r="73" spans="1:25" s="22" customFormat="1" x14ac:dyDescent="0.35">
      <c r="A73" s="155">
        <v>43</v>
      </c>
      <c r="B73" s="473" t="s">
        <v>240</v>
      </c>
      <c r="C73" s="474"/>
      <c r="D73" s="474"/>
      <c r="E73" s="474"/>
      <c r="F73" s="475"/>
      <c r="G73" s="157">
        <f>'As-Filed Schedule 1'!E72</f>
        <v>60039.43</v>
      </c>
      <c r="H73" s="263">
        <f>SUMIFS(Adjustments!$G:$G,Adjustments!$H:$H,"1",Adjustments!$I:$I,$G$9,Adjustments!$J:$J,$A73)</f>
        <v>0</v>
      </c>
      <c r="I73" s="274">
        <f t="shared" si="95"/>
        <v>60039.43</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60039.43</v>
      </c>
      <c r="W73" s="266">
        <f t="shared" si="101"/>
        <v>0</v>
      </c>
      <c r="X73" s="275">
        <f t="shared" si="102"/>
        <v>60039.43</v>
      </c>
      <c r="Y73" s="140"/>
    </row>
    <row r="74" spans="1:25" s="22" customFormat="1" x14ac:dyDescent="0.35">
      <c r="A74" s="155">
        <v>44</v>
      </c>
      <c r="B74" s="473" t="s">
        <v>308</v>
      </c>
      <c r="C74" s="474"/>
      <c r="D74" s="474"/>
      <c r="E74" s="474"/>
      <c r="F74" s="475"/>
      <c r="G74" s="157">
        <f>'As-Filed Schedule 1'!E73</f>
        <v>146457.70000000001</v>
      </c>
      <c r="H74" s="263">
        <f>SUMIFS(Adjustments!$G:$G,Adjustments!$H:$H,"1",Adjustments!$I:$I,$G$9,Adjustments!$J:$J,$A74)</f>
        <v>0</v>
      </c>
      <c r="I74" s="274">
        <f t="shared" si="95"/>
        <v>146457.70000000001</v>
      </c>
      <c r="J74" s="157">
        <f>'As-Filed Schedule 1'!F73</f>
        <v>301.04837942540087</v>
      </c>
      <c r="K74" s="263">
        <f>SUMIFS(Adjustments!$G:$G,Adjustments!$H:$H,"1",Adjustments!$I:$I,$J$9,Adjustments!$J:$J,$A74)</f>
        <v>0</v>
      </c>
      <c r="L74" s="274">
        <f t="shared" si="96"/>
        <v>301.04837942540087</v>
      </c>
      <c r="M74" s="157">
        <f>'As-Filed Schedule 1'!G73</f>
        <v>912.79771136204147</v>
      </c>
      <c r="N74" s="263">
        <f>SUMIFS(Adjustments!$G:$G,Adjustments!$H:$H,"1",Adjustments!$I:$I,$M$9,Adjustments!$J:$J,$A74)</f>
        <v>0</v>
      </c>
      <c r="O74" s="274">
        <f t="shared" si="97"/>
        <v>912.79771136204147</v>
      </c>
      <c r="P74" s="157">
        <f>'As-Filed Schedule 1'!H73</f>
        <v>14.15390921255762</v>
      </c>
      <c r="Q74" s="263">
        <f>SUMIFS(Adjustments!$G:$G,Adjustments!$H:$H,"1",Adjustments!$I:$I,$P$9,Adjustments!$J:$J,$A74)</f>
        <v>0</v>
      </c>
      <c r="R74" s="274">
        <f t="shared" si="98"/>
        <v>14.15390921255762</v>
      </c>
      <c r="S74" s="157">
        <f>'As-Filed Schedule 1'!I73</f>
        <v>9284</v>
      </c>
      <c r="T74" s="263">
        <f>SUMIFS(Adjustments!$G:$G,Adjustments!$H:$H,"1",Adjustments!$I:$I,$S$9,Adjustments!$J:$J,$A74)</f>
        <v>0</v>
      </c>
      <c r="U74" s="274">
        <f t="shared" si="99"/>
        <v>9284</v>
      </c>
      <c r="V74" s="160">
        <f t="shared" si="100"/>
        <v>156969.70000000001</v>
      </c>
      <c r="W74" s="266">
        <f t="shared" si="101"/>
        <v>0</v>
      </c>
      <c r="X74" s="275">
        <f t="shared" si="102"/>
        <v>156969.70000000001</v>
      </c>
      <c r="Y74" s="140"/>
    </row>
    <row r="75" spans="1:25" s="22" customFormat="1" x14ac:dyDescent="0.35">
      <c r="A75" s="155">
        <v>45</v>
      </c>
      <c r="B75" s="473" t="s">
        <v>286</v>
      </c>
      <c r="C75" s="474"/>
      <c r="D75" s="474"/>
      <c r="E75" s="474"/>
      <c r="F75" s="475"/>
      <c r="G75" s="157">
        <f>'As-Filed Schedule 1'!E74</f>
        <v>33259.989999999991</v>
      </c>
      <c r="H75" s="263">
        <f>SUMIFS(Adjustments!$G:$G,Adjustments!$H:$H,"1",Adjustments!$I:$I,$G$9,Adjustments!$J:$J,$A75)</f>
        <v>0</v>
      </c>
      <c r="I75" s="274">
        <f t="shared" si="95"/>
        <v>33259.989999999991</v>
      </c>
      <c r="J75" s="157">
        <f>'As-Filed Schedule 1'!F74</f>
        <v>74.438273508265056</v>
      </c>
      <c r="K75" s="263">
        <f>SUMIFS(Adjustments!$G:$G,Adjustments!$H:$H,"1",Adjustments!$I:$I,$J$9,Adjustments!$J:$J,$A75)</f>
        <v>0</v>
      </c>
      <c r="L75" s="274">
        <f t="shared" si="96"/>
        <v>74.438273508265056</v>
      </c>
      <c r="M75" s="157">
        <f>'As-Filed Schedule 1'!G74</f>
        <v>11.116632556934704</v>
      </c>
      <c r="N75" s="263">
        <f>SUMIFS(Adjustments!$G:$G,Adjustments!$H:$H,"1",Adjustments!$I:$I,$M$9,Adjustments!$J:$J,$A75)</f>
        <v>0</v>
      </c>
      <c r="O75" s="274">
        <f t="shared" si="97"/>
        <v>11.116632556934704</v>
      </c>
      <c r="P75" s="157">
        <f>'As-Filed Schedule 1'!H74</f>
        <v>6.3450939348002198</v>
      </c>
      <c r="Q75" s="263">
        <f>SUMIFS(Adjustments!$G:$G,Adjustments!$H:$H,"1",Adjustments!$I:$I,$P$9,Adjustments!$J:$J,$A75)</f>
        <v>0</v>
      </c>
      <c r="R75" s="274">
        <f t="shared" si="98"/>
        <v>6.3450939348002198</v>
      </c>
      <c r="S75" s="157">
        <f>'As-Filed Schedule 1'!I74</f>
        <v>655395.04</v>
      </c>
      <c r="T75" s="263">
        <f>SUMIFS(Adjustments!$G:$G,Adjustments!$H:$H,"1",Adjustments!$I:$I,$S$9,Adjustments!$J:$J,$A75)</f>
        <v>0</v>
      </c>
      <c r="U75" s="274">
        <f t="shared" si="99"/>
        <v>655395.04</v>
      </c>
      <c r="V75" s="160">
        <f t="shared" si="100"/>
        <v>688746.93</v>
      </c>
      <c r="W75" s="266">
        <f t="shared" si="101"/>
        <v>0</v>
      </c>
      <c r="X75" s="275">
        <f t="shared" si="102"/>
        <v>688746.93</v>
      </c>
      <c r="Y75" s="140"/>
    </row>
    <row r="76" spans="1:25" s="22" customFormat="1" x14ac:dyDescent="0.35">
      <c r="A76" s="155">
        <v>46</v>
      </c>
      <c r="B76" s="473" t="s">
        <v>287</v>
      </c>
      <c r="C76" s="474"/>
      <c r="D76" s="474"/>
      <c r="E76" s="474"/>
      <c r="F76" s="475"/>
      <c r="G76" s="157">
        <f>'As-Filed Schedule 1'!E75</f>
        <v>1728194.62</v>
      </c>
      <c r="H76" s="263">
        <f>SUMIFS(Adjustments!$G:$G,Adjustments!$H:$H,"1",Adjustments!$I:$I,$G$9,Adjustments!$J:$J,$A76)</f>
        <v>0</v>
      </c>
      <c r="I76" s="274">
        <f t="shared" si="95"/>
        <v>1728194.62</v>
      </c>
      <c r="J76" s="157">
        <f>'As-Filed Schedule 1'!F75</f>
        <v>206460.04</v>
      </c>
      <c r="K76" s="263">
        <f>SUMIFS(Adjustments!$G:$G,Adjustments!$H:$H,"1",Adjustments!$I:$I,$J$9,Adjustments!$J:$J,$A76)</f>
        <v>0</v>
      </c>
      <c r="L76" s="274">
        <f t="shared" si="96"/>
        <v>206460.04</v>
      </c>
      <c r="M76" s="157">
        <f>'As-Filed Schedule 1'!G75</f>
        <v>161131.45000000001</v>
      </c>
      <c r="N76" s="263">
        <f>SUMIFS(Adjustments!$G:$G,Adjustments!$H:$H,"1",Adjustments!$I:$I,$M$9,Adjustments!$J:$J,$A76)</f>
        <v>0</v>
      </c>
      <c r="O76" s="274">
        <f t="shared" si="97"/>
        <v>161131.45000000001</v>
      </c>
      <c r="P76" s="157">
        <f>'As-Filed Schedule 1'!H75</f>
        <v>0</v>
      </c>
      <c r="Q76" s="263">
        <f>SUMIFS(Adjustments!$G:$G,Adjustments!$H:$H,"1",Adjustments!$I:$I,$P$9,Adjustments!$J:$J,$A76)</f>
        <v>0</v>
      </c>
      <c r="R76" s="274">
        <f t="shared" si="98"/>
        <v>0</v>
      </c>
      <c r="S76" s="157">
        <f>'As-Filed Schedule 1'!I75</f>
        <v>0</v>
      </c>
      <c r="T76" s="263">
        <f>SUMIFS(Adjustments!$G:$G,Adjustments!$H:$H,"1",Adjustments!$I:$I,$S$9,Adjustments!$J:$J,$A76)</f>
        <v>0</v>
      </c>
      <c r="U76" s="274">
        <f t="shared" si="99"/>
        <v>0</v>
      </c>
      <c r="V76" s="160">
        <f t="shared" si="100"/>
        <v>2095786.11</v>
      </c>
      <c r="W76" s="266">
        <f t="shared" si="101"/>
        <v>0</v>
      </c>
      <c r="X76" s="275">
        <f t="shared" si="102"/>
        <v>2095786.11</v>
      </c>
      <c r="Y76" s="140"/>
    </row>
    <row r="77" spans="1:25" s="22" customFormat="1" x14ac:dyDescent="0.35">
      <c r="A77" s="155">
        <v>47</v>
      </c>
      <c r="B77" s="473" t="s">
        <v>318</v>
      </c>
      <c r="C77" s="474"/>
      <c r="D77" s="474"/>
      <c r="E77" s="474"/>
      <c r="F77" s="475"/>
      <c r="G77" s="157">
        <f>'As-Filed Schedule 1'!E76</f>
        <v>218359.94</v>
      </c>
      <c r="H77" s="263">
        <f>SUMIFS(Adjustments!$G:$G,Adjustments!$H:$H,"1",Adjustments!$I:$I,$G$9,Adjustments!$J:$J,$A77)</f>
        <v>0</v>
      </c>
      <c r="I77" s="274">
        <f t="shared" si="95"/>
        <v>218359.94</v>
      </c>
      <c r="J77" s="157">
        <f>'As-Filed Schedule 1'!F76</f>
        <v>330155.75561922521</v>
      </c>
      <c r="K77" s="263">
        <f>SUMIFS(Adjustments!$G:$G,Adjustments!$H:$H,"1",Adjustments!$I:$I,$J$9,Adjustments!$J:$J,$A77)</f>
        <v>0</v>
      </c>
      <c r="L77" s="274">
        <f t="shared" si="96"/>
        <v>330155.75561922521</v>
      </c>
      <c r="M77" s="157">
        <f>'As-Filed Schedule 1'!G76</f>
        <v>42807.50086637104</v>
      </c>
      <c r="N77" s="263">
        <f>SUMIFS(Adjustments!$G:$G,Adjustments!$H:$H,"1",Adjustments!$I:$I,$M$9,Adjustments!$J:$J,$A77)</f>
        <v>0</v>
      </c>
      <c r="O77" s="274">
        <f t="shared" si="97"/>
        <v>42807.50086637104</v>
      </c>
      <c r="P77" s="157">
        <f>'As-Filed Schedule 1'!H76</f>
        <v>31072.113514403722</v>
      </c>
      <c r="Q77" s="263">
        <f>SUMIFS(Adjustments!$G:$G,Adjustments!$H:$H,"1",Adjustments!$I:$I,$P$9,Adjustments!$J:$J,$A77)</f>
        <v>0</v>
      </c>
      <c r="R77" s="274">
        <f t="shared" si="98"/>
        <v>31072.113514403722</v>
      </c>
      <c r="S77" s="157">
        <f>'As-Filed Schedule 1'!I76</f>
        <v>0</v>
      </c>
      <c r="T77" s="263">
        <f>SUMIFS(Adjustments!$G:$G,Adjustments!$H:$H,"1",Adjustments!$I:$I,$S$9,Adjustments!$J:$J,$A77)</f>
        <v>0</v>
      </c>
      <c r="U77" s="274">
        <f t="shared" si="99"/>
        <v>0</v>
      </c>
      <c r="V77" s="160">
        <f t="shared" si="100"/>
        <v>622395.31000000006</v>
      </c>
      <c r="W77" s="266">
        <f t="shared" si="101"/>
        <v>0</v>
      </c>
      <c r="X77" s="275">
        <f t="shared" si="102"/>
        <v>622395.31000000006</v>
      </c>
      <c r="Y77" s="140"/>
    </row>
    <row r="78" spans="1:25" s="22" customFormat="1" x14ac:dyDescent="0.35">
      <c r="A78" s="155">
        <v>48</v>
      </c>
      <c r="B78" s="473" t="s">
        <v>285</v>
      </c>
      <c r="C78" s="474"/>
      <c r="D78" s="474"/>
      <c r="E78" s="474"/>
      <c r="F78" s="475"/>
      <c r="G78" s="157">
        <f>'As-Filed Schedule 1'!E77</f>
        <v>133065.1</v>
      </c>
      <c r="H78" s="263">
        <f>SUMIFS(Adjustments!$G:$G,Adjustments!$H:$H,"1",Adjustments!$I:$I,$G$9,Adjustments!$J:$J,$A78)</f>
        <v>0</v>
      </c>
      <c r="I78" s="274">
        <f t="shared" si="95"/>
        <v>133065.1</v>
      </c>
      <c r="J78" s="157">
        <f>'As-Filed Schedule 1'!F77</f>
        <v>233953.07368742125</v>
      </c>
      <c r="K78" s="263">
        <f>SUMIFS(Adjustments!$G:$G,Adjustments!$H:$H,"1",Adjustments!$I:$I,$J$9,Adjustments!$J:$J,$A78)</f>
        <v>0</v>
      </c>
      <c r="L78" s="274">
        <f t="shared" si="96"/>
        <v>233953.07368742125</v>
      </c>
      <c r="M78" s="157">
        <f>'As-Filed Schedule 1'!G77</f>
        <v>31345.439356545656</v>
      </c>
      <c r="N78" s="263">
        <f>SUMIFS(Adjustments!$G:$G,Adjustments!$H:$H,"1",Adjustments!$I:$I,$M$9,Adjustments!$J:$J,$A78)</f>
        <v>0</v>
      </c>
      <c r="O78" s="274">
        <f t="shared" si="97"/>
        <v>31345.439356545656</v>
      </c>
      <c r="P78" s="157">
        <f>'As-Filed Schedule 1'!H77</f>
        <v>10093.966956033066</v>
      </c>
      <c r="Q78" s="263">
        <f>SUMIFS(Adjustments!$G:$G,Adjustments!$H:$H,"1",Adjustments!$I:$I,$P$9,Adjustments!$J:$J,$A78)</f>
        <v>0</v>
      </c>
      <c r="R78" s="274">
        <f t="shared" si="98"/>
        <v>10093.966956033066</v>
      </c>
      <c r="S78" s="157">
        <f>'As-Filed Schedule 1'!I77</f>
        <v>0</v>
      </c>
      <c r="T78" s="263">
        <f>SUMIFS(Adjustments!$G:$G,Adjustments!$H:$H,"1",Adjustments!$I:$I,$S$9,Adjustments!$J:$J,$A78)</f>
        <v>0</v>
      </c>
      <c r="U78" s="274">
        <f t="shared" si="99"/>
        <v>0</v>
      </c>
      <c r="V78" s="160">
        <f t="shared" si="100"/>
        <v>408457.58</v>
      </c>
      <c r="W78" s="266">
        <f t="shared" si="101"/>
        <v>0</v>
      </c>
      <c r="X78" s="275">
        <f t="shared" si="102"/>
        <v>408457.58</v>
      </c>
      <c r="Y78" s="140"/>
    </row>
    <row r="79" spans="1:25" s="22" customFormat="1" x14ac:dyDescent="0.35">
      <c r="A79" s="155">
        <v>49</v>
      </c>
      <c r="B79" s="479" t="s">
        <v>279</v>
      </c>
      <c r="C79" s="480"/>
      <c r="D79" s="480"/>
      <c r="E79" s="480"/>
      <c r="F79" s="481"/>
      <c r="G79" s="160">
        <f>SUM(G71:G78)</f>
        <v>2472854.56</v>
      </c>
      <c r="H79" s="160">
        <f t="shared" ref="H79:I79" si="103">SUM(H71:H78)</f>
        <v>0</v>
      </c>
      <c r="I79" s="160">
        <f t="shared" si="103"/>
        <v>2472854.56</v>
      </c>
      <c r="J79" s="160">
        <f t="shared" ref="J79:U79" si="104">SUM(J71:J78)</f>
        <v>846928.35167303181</v>
      </c>
      <c r="K79" s="160">
        <f t="shared" si="104"/>
        <v>0</v>
      </c>
      <c r="L79" s="160">
        <f t="shared" si="104"/>
        <v>846928.35167303181</v>
      </c>
      <c r="M79" s="160">
        <f t="shared" si="104"/>
        <v>239349.96073479584</v>
      </c>
      <c r="N79" s="160">
        <f t="shared" si="104"/>
        <v>0</v>
      </c>
      <c r="O79" s="160">
        <f t="shared" si="104"/>
        <v>239349.96073479584</v>
      </c>
      <c r="P79" s="160">
        <f t="shared" si="104"/>
        <v>51321.627592172255</v>
      </c>
      <c r="Q79" s="160">
        <f>SUM(Q71:Q78)</f>
        <v>0</v>
      </c>
      <c r="R79" s="160">
        <f t="shared" si="104"/>
        <v>51321.627592172255</v>
      </c>
      <c r="S79" s="160">
        <f t="shared" si="104"/>
        <v>664679.04</v>
      </c>
      <c r="T79" s="160">
        <f t="shared" si="104"/>
        <v>0</v>
      </c>
      <c r="U79" s="160">
        <f t="shared" si="104"/>
        <v>664679.04</v>
      </c>
      <c r="V79" s="160">
        <f t="shared" si="100"/>
        <v>4275133.54</v>
      </c>
      <c r="W79" s="266">
        <f t="shared" si="101"/>
        <v>0</v>
      </c>
      <c r="X79" s="275">
        <f t="shared" si="102"/>
        <v>4275133.54</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82" t="s">
        <v>303</v>
      </c>
      <c r="B81" s="483"/>
      <c r="C81" s="483"/>
      <c r="D81" s="483"/>
      <c r="E81" s="483"/>
      <c r="F81" s="483"/>
      <c r="G81" s="483"/>
      <c r="H81" s="483"/>
      <c r="I81" s="483"/>
      <c r="J81" s="483"/>
      <c r="K81" s="483"/>
      <c r="L81" s="483"/>
      <c r="M81" s="483"/>
      <c r="N81" s="483"/>
      <c r="O81" s="483"/>
      <c r="P81" s="483"/>
      <c r="Q81" s="483"/>
      <c r="R81" s="483"/>
      <c r="S81" s="483"/>
      <c r="T81" s="483"/>
      <c r="U81" s="483"/>
      <c r="V81" s="483"/>
      <c r="W81" s="483"/>
      <c r="X81" s="484"/>
      <c r="Y81" s="140"/>
    </row>
    <row r="82" spans="1:25" s="22" customFormat="1" x14ac:dyDescent="0.35">
      <c r="A82" s="155">
        <v>50</v>
      </c>
      <c r="B82" s="473" t="s">
        <v>304</v>
      </c>
      <c r="C82" s="474"/>
      <c r="D82" s="474"/>
      <c r="E82" s="474"/>
      <c r="F82" s="475"/>
      <c r="G82" s="98"/>
      <c r="H82" s="268"/>
      <c r="I82" s="278"/>
      <c r="J82" s="98"/>
      <c r="K82" s="268"/>
      <c r="L82" s="278"/>
      <c r="M82" s="98"/>
      <c r="N82" s="268"/>
      <c r="O82" s="278"/>
      <c r="P82" s="98"/>
      <c r="Q82" s="268"/>
      <c r="R82" s="278"/>
      <c r="S82" s="157">
        <f>'As-Filed Schedule 1'!I81</f>
        <v>703.36</v>
      </c>
      <c r="T82" s="263">
        <f>SUMIFS(Adjustments!$G:$G,Adjustments!$H:$H,"1",Adjustments!$I:$I,$S$9,Adjustments!$J:$J,$A82)</f>
        <v>0</v>
      </c>
      <c r="U82" s="274">
        <f>SUM(S82:T82)</f>
        <v>703.36</v>
      </c>
      <c r="V82" s="160">
        <f t="shared" ref="V82:X85" si="105">S82</f>
        <v>703.36</v>
      </c>
      <c r="W82" s="266">
        <f t="shared" si="105"/>
        <v>0</v>
      </c>
      <c r="X82" s="275">
        <f t="shared" si="105"/>
        <v>703.36</v>
      </c>
      <c r="Y82" s="140"/>
    </row>
    <row r="83" spans="1:25" s="22" customFormat="1" x14ac:dyDescent="0.35">
      <c r="A83" s="155">
        <v>51</v>
      </c>
      <c r="B83" s="473" t="s">
        <v>309</v>
      </c>
      <c r="C83" s="474"/>
      <c r="D83" s="474"/>
      <c r="E83" s="474"/>
      <c r="F83" s="475"/>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473" t="s">
        <v>310</v>
      </c>
      <c r="C84" s="474"/>
      <c r="D84" s="474"/>
      <c r="E84" s="474"/>
      <c r="F84" s="475"/>
      <c r="G84" s="98"/>
      <c r="H84" s="268"/>
      <c r="I84" s="278"/>
      <c r="J84" s="98"/>
      <c r="K84" s="268"/>
      <c r="L84" s="278"/>
      <c r="M84" s="98"/>
      <c r="N84" s="268"/>
      <c r="O84" s="278"/>
      <c r="P84" s="98"/>
      <c r="Q84" s="268"/>
      <c r="R84" s="278"/>
      <c r="S84" s="157">
        <f>'As-Filed Schedule 1'!I83</f>
        <v>326772.15999999997</v>
      </c>
      <c r="T84" s="263">
        <f>SUMIFS(Adjustments!$G:$G,Adjustments!$H:$H,"1",Adjustments!$I:$I,$S$9,Adjustments!$J:$J,$A84)</f>
        <v>0</v>
      </c>
      <c r="U84" s="274">
        <f>SUM(S84:T84)</f>
        <v>326772.15999999997</v>
      </c>
      <c r="V84" s="160">
        <f t="shared" si="105"/>
        <v>326772.15999999997</v>
      </c>
      <c r="W84" s="266">
        <f t="shared" si="105"/>
        <v>0</v>
      </c>
      <c r="X84" s="275">
        <f t="shared" si="105"/>
        <v>326772.15999999997</v>
      </c>
      <c r="Y84" s="140"/>
    </row>
    <row r="85" spans="1:25" s="22" customFormat="1" x14ac:dyDescent="0.35">
      <c r="A85" s="155">
        <v>53</v>
      </c>
      <c r="B85" s="473" t="s">
        <v>305</v>
      </c>
      <c r="C85" s="474"/>
      <c r="D85" s="474"/>
      <c r="E85" s="474"/>
      <c r="F85" s="475"/>
      <c r="G85" s="98"/>
      <c r="H85" s="268"/>
      <c r="I85" s="278"/>
      <c r="J85" s="98"/>
      <c r="K85" s="268"/>
      <c r="L85" s="278"/>
      <c r="M85" s="98"/>
      <c r="N85" s="268"/>
      <c r="O85" s="278"/>
      <c r="P85" s="98"/>
      <c r="Q85" s="268"/>
      <c r="R85" s="278"/>
      <c r="S85" s="157">
        <f>'As-Filed Schedule 1'!I84</f>
        <v>89502.83</v>
      </c>
      <c r="T85" s="263">
        <f>SUMIFS(Adjustments!$G:$G,Adjustments!$H:$H,"1",Adjustments!$I:$I,$S$9,Adjustments!$J:$J,$A85)</f>
        <v>0</v>
      </c>
      <c r="U85" s="274">
        <f t="shared" si="106"/>
        <v>89502.83</v>
      </c>
      <c r="V85" s="160">
        <f t="shared" si="105"/>
        <v>89502.83</v>
      </c>
      <c r="W85" s="266">
        <f t="shared" si="105"/>
        <v>0</v>
      </c>
      <c r="X85" s="275">
        <f t="shared" si="105"/>
        <v>89502.83</v>
      </c>
      <c r="Y85" s="140"/>
    </row>
    <row r="86" spans="1:25" s="22" customFormat="1" x14ac:dyDescent="0.35">
      <c r="A86" s="155">
        <v>54</v>
      </c>
      <c r="B86" s="479" t="s">
        <v>306</v>
      </c>
      <c r="C86" s="480"/>
      <c r="D86" s="480"/>
      <c r="E86" s="480"/>
      <c r="F86" s="481"/>
      <c r="G86" s="160">
        <v>0</v>
      </c>
      <c r="H86" s="160">
        <v>0</v>
      </c>
      <c r="I86" s="160">
        <v>0</v>
      </c>
      <c r="J86" s="160">
        <v>0</v>
      </c>
      <c r="K86" s="160">
        <v>0</v>
      </c>
      <c r="L86" s="160">
        <v>0</v>
      </c>
      <c r="M86" s="160">
        <v>0</v>
      </c>
      <c r="N86" s="160">
        <v>0</v>
      </c>
      <c r="O86" s="160">
        <v>0</v>
      </c>
      <c r="P86" s="160">
        <v>0</v>
      </c>
      <c r="Q86" s="160">
        <v>0</v>
      </c>
      <c r="R86" s="160">
        <v>0</v>
      </c>
      <c r="S86" s="160">
        <f>SUM(S82:S85)</f>
        <v>416978.35</v>
      </c>
      <c r="T86" s="160">
        <f t="shared" ref="T86:U86" si="107">SUM(T82:T85)</f>
        <v>0</v>
      </c>
      <c r="U86" s="160">
        <f t="shared" si="107"/>
        <v>416978.35</v>
      </c>
      <c r="V86" s="160">
        <f>SUM(G86,J86,M86,P86,S86)</f>
        <v>416978.35</v>
      </c>
      <c r="W86" s="266">
        <f>SUM(H86,K86,N86,Q86,T86)</f>
        <v>0</v>
      </c>
      <c r="X86" s="275">
        <f>SUM(I86,L86,O86,R86,U86)</f>
        <v>416978.35</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82" t="s">
        <v>273</v>
      </c>
      <c r="B88" s="483"/>
      <c r="C88" s="483"/>
      <c r="D88" s="483"/>
      <c r="E88" s="483"/>
      <c r="F88" s="483"/>
      <c r="G88" s="483"/>
      <c r="H88" s="483"/>
      <c r="I88" s="483"/>
      <c r="J88" s="483"/>
      <c r="K88" s="483"/>
      <c r="L88" s="483"/>
      <c r="M88" s="483"/>
      <c r="N88" s="483"/>
      <c r="O88" s="483"/>
      <c r="P88" s="483"/>
      <c r="Q88" s="483"/>
      <c r="R88" s="483"/>
      <c r="S88" s="483"/>
      <c r="T88" s="483"/>
      <c r="U88" s="483"/>
      <c r="V88" s="483"/>
      <c r="W88" s="483"/>
      <c r="X88" s="484"/>
      <c r="Y88" s="140"/>
    </row>
    <row r="89" spans="1:25" s="22" customFormat="1" x14ac:dyDescent="0.35">
      <c r="A89" s="155">
        <v>55</v>
      </c>
      <c r="B89" s="473" t="s">
        <v>274</v>
      </c>
      <c r="C89" s="474"/>
      <c r="D89" s="474"/>
      <c r="E89" s="474"/>
      <c r="F89" s="475"/>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79" t="s">
        <v>270</v>
      </c>
      <c r="C90" s="480"/>
      <c r="D90" s="480"/>
      <c r="E90" s="480"/>
      <c r="F90" s="481"/>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79" t="s">
        <v>241</v>
      </c>
      <c r="C92" s="480"/>
      <c r="D92" s="480"/>
      <c r="E92" s="480"/>
      <c r="F92" s="481"/>
      <c r="G92" s="160">
        <f t="shared" ref="G92:U92" si="112">G79+G68+G58+G51+G41+G90+G86</f>
        <v>14522595.940381825</v>
      </c>
      <c r="H92" s="160">
        <f t="shared" si="112"/>
        <v>0</v>
      </c>
      <c r="I92" s="160">
        <f>I79+I68+I58+I51+I41+I90+I86</f>
        <v>14522595.940381825</v>
      </c>
      <c r="J92" s="160">
        <f>J79+J68+J58+J51+J41+J90+J86</f>
        <v>24854544.379505318</v>
      </c>
      <c r="K92" s="160">
        <f t="shared" si="112"/>
        <v>0</v>
      </c>
      <c r="L92" s="160">
        <f t="shared" si="112"/>
        <v>24854544.379505318</v>
      </c>
      <c r="M92" s="160">
        <f t="shared" si="112"/>
        <v>3981756.2478900878</v>
      </c>
      <c r="N92" s="160">
        <f t="shared" si="112"/>
        <v>0</v>
      </c>
      <c r="O92" s="160">
        <f t="shared" si="112"/>
        <v>3981756.2478900878</v>
      </c>
      <c r="P92" s="160">
        <f t="shared" si="112"/>
        <v>2075063.4026045909</v>
      </c>
      <c r="Q92" s="160">
        <f t="shared" si="112"/>
        <v>0</v>
      </c>
      <c r="R92" s="160">
        <f t="shared" si="112"/>
        <v>2075063.4026045909</v>
      </c>
      <c r="S92" s="160">
        <f t="shared" si="112"/>
        <v>1364680.5796181741</v>
      </c>
      <c r="T92" s="160">
        <f t="shared" si="112"/>
        <v>0</v>
      </c>
      <c r="U92" s="160">
        <f t="shared" si="112"/>
        <v>1364680.5796181741</v>
      </c>
      <c r="V92" s="160">
        <f>SUM(G92,J92,M92,P92,S92)</f>
        <v>46798640.54999999</v>
      </c>
      <c r="W92" s="266">
        <f>SUM(H92,K92,N92,Q92,T92)</f>
        <v>0</v>
      </c>
      <c r="X92" s="275">
        <f>SUM(I92,L92,O92,R92,U92)</f>
        <v>46798640.54999999</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73" t="s">
        <v>2</v>
      </c>
      <c r="C94" s="474"/>
      <c r="D94" s="474"/>
      <c r="E94" s="474"/>
      <c r="F94" s="475"/>
      <c r="G94" s="158">
        <f>G92*-1</f>
        <v>-14522595.940381825</v>
      </c>
      <c r="H94" s="158">
        <f>H92*-1</f>
        <v>0</v>
      </c>
      <c r="I94" s="149">
        <f>I92*-1</f>
        <v>-14522595.940381825</v>
      </c>
      <c r="J94" s="157">
        <f>'As-Filed Schedule 1'!F93</f>
        <v>11183294.287500178</v>
      </c>
      <c r="K94" s="263">
        <f>SUMIFS(Adjustments!$G:$G,Adjustments!$H:$H,"1",Adjustments!$I:$I,$J$9,Adjustments!$J:$J,$A94)</f>
        <v>0</v>
      </c>
      <c r="L94" s="274">
        <f>SUM(J94:K94)</f>
        <v>11183294.287500178</v>
      </c>
      <c r="M94" s="157">
        <f>'As-Filed Schedule 1'!G93</f>
        <v>1791589.9491589726</v>
      </c>
      <c r="N94" s="263">
        <f>SUMIFS(Adjustments!$G:$G,Adjustments!$H:$H,"1",Adjustments!$I:$I,$M$9,Adjustments!$J:$J,$A94)</f>
        <v>0</v>
      </c>
      <c r="O94" s="274">
        <f>SUM(M94:N94)</f>
        <v>1791589.9491589726</v>
      </c>
      <c r="P94" s="157">
        <f>'As-Filed Schedule 1'!H93</f>
        <v>933674.11376424017</v>
      </c>
      <c r="Q94" s="263">
        <f>SUMIFS(Adjustments!$G:$G,Adjustments!$H:$H,"1",Adjustments!$I:$I,$P$9,Adjustments!$J:$J,$A94)</f>
        <v>0</v>
      </c>
      <c r="R94" s="274">
        <f>SUM(P94:Q94)</f>
        <v>933674.11376424017</v>
      </c>
      <c r="S94" s="157">
        <f>'As-Filed Schedule 1'!I93</f>
        <v>614037.58995843283</v>
      </c>
      <c r="T94" s="263">
        <f>SUMIFS(Adjustments!$G:$G,Adjustments!$H:$H,"1",Adjustments!$I:$I,$S$9,Adjustments!$J:$J,$A94)</f>
        <v>0</v>
      </c>
      <c r="U94" s="274">
        <f t="shared" ref="U94" si="113">SUM(S94:T94)</f>
        <v>614037.58995843283</v>
      </c>
      <c r="V94" s="160">
        <f>SUM(,G94,J94,M94,P94,S94)</f>
        <v>-9.3132257461547852E-10</v>
      </c>
      <c r="W94" s="266">
        <f>SUM(H94,K94,N94,Q94,T94)</f>
        <v>0</v>
      </c>
      <c r="X94" s="275">
        <f>SUM(I94,L94,O94,R94,U94)</f>
        <v>-9.3132257461547852E-10</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79" t="s">
        <v>242</v>
      </c>
      <c r="C96" s="480"/>
      <c r="D96" s="480"/>
      <c r="E96" s="480"/>
      <c r="F96" s="481"/>
      <c r="G96" s="160">
        <f>G94+G92</f>
        <v>0</v>
      </c>
      <c r="H96" s="160">
        <f t="shared" ref="H96:I96" si="114">H94+H92</f>
        <v>0</v>
      </c>
      <c r="I96" s="160">
        <f t="shared" si="114"/>
        <v>0</v>
      </c>
      <c r="J96" s="160">
        <f>J94+J92</f>
        <v>36037838.667005494</v>
      </c>
      <c r="K96" s="160">
        <f t="shared" ref="K96" si="115">K94+K92</f>
        <v>0</v>
      </c>
      <c r="L96" s="160">
        <f>L94+L92</f>
        <v>36037838.667005494</v>
      </c>
      <c r="M96" s="160">
        <f t="shared" ref="M96:R96" si="116">M94+M92</f>
        <v>5773346.1970490608</v>
      </c>
      <c r="N96" s="160">
        <f t="shared" si="116"/>
        <v>0</v>
      </c>
      <c r="O96" s="160">
        <f t="shared" si="116"/>
        <v>5773346.1970490608</v>
      </c>
      <c r="P96" s="160">
        <f t="shared" si="116"/>
        <v>3008737.516368831</v>
      </c>
      <c r="Q96" s="160">
        <f t="shared" si="116"/>
        <v>0</v>
      </c>
      <c r="R96" s="160">
        <f t="shared" si="116"/>
        <v>3008737.516368831</v>
      </c>
      <c r="S96" s="160">
        <f>S94+S92</f>
        <v>1978718.1695766069</v>
      </c>
      <c r="T96" s="160">
        <f t="shared" ref="T96:U96" si="117">T94+T92</f>
        <v>0</v>
      </c>
      <c r="U96" s="160">
        <f t="shared" si="117"/>
        <v>1978718.1695766069</v>
      </c>
      <c r="V96" s="160">
        <f>SUM(G96,J96,M96,P96,S96)</f>
        <v>46798640.54999999</v>
      </c>
      <c r="W96" s="266">
        <f>SUM(H96,K96,N96,Q96,T96)</f>
        <v>0</v>
      </c>
      <c r="X96" s="275">
        <f>SUM(I96,L96,O96,R96,U96)</f>
        <v>46798640.54999999</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72" t="s">
        <v>4</v>
      </c>
      <c r="C98" s="472"/>
      <c r="D98" s="170"/>
      <c r="E98" s="265"/>
      <c r="F98" s="140"/>
      <c r="G98" s="170"/>
      <c r="H98" s="265"/>
      <c r="I98" s="140"/>
      <c r="J98" s="150">
        <f>'As-Filed Schedule 1'!F97</f>
        <v>11234</v>
      </c>
      <c r="K98" s="263">
        <f>SUMIFS(Adjustments!$G:$G,Adjustments!$H:$H,"1",Adjustments!$I:$I,$J$9,Adjustments!$J:$J,$A98)</f>
        <v>0</v>
      </c>
      <c r="L98" s="274">
        <f>SUM(J98:K98)</f>
        <v>11234</v>
      </c>
      <c r="M98" s="170"/>
      <c r="N98" s="265"/>
      <c r="O98" s="140"/>
      <c r="P98" s="170"/>
      <c r="Q98" s="265"/>
      <c r="R98" s="140"/>
      <c r="S98" s="170"/>
      <c r="T98" s="265"/>
      <c r="U98" s="140"/>
      <c r="V98" s="170"/>
      <c r="W98" s="265"/>
      <c r="X98" s="140"/>
      <c r="Y98" s="140"/>
    </row>
    <row r="99" spans="1:25" s="22" customFormat="1" x14ac:dyDescent="0.35">
      <c r="A99" s="155">
        <v>61</v>
      </c>
      <c r="B99" s="472" t="s">
        <v>5</v>
      </c>
      <c r="C99" s="472"/>
      <c r="D99" s="170"/>
      <c r="E99" s="265"/>
      <c r="F99" s="140"/>
      <c r="G99" s="170"/>
      <c r="H99" s="265"/>
      <c r="I99" s="140"/>
      <c r="J99" s="158">
        <f>IFERROR(J96/J98,"")</f>
        <v>3207.9258204562484</v>
      </c>
      <c r="K99" s="158" t="str">
        <f t="shared" ref="K99" si="118">IFERROR(K96/K98,"")</f>
        <v/>
      </c>
      <c r="L99" s="158">
        <f>IFERROR(L96/L98,"")</f>
        <v>3207.9258204562484</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72" t="s">
        <v>307</v>
      </c>
      <c r="C101" s="472"/>
      <c r="D101" s="170"/>
      <c r="E101" s="265"/>
      <c r="F101" s="140"/>
      <c r="G101" s="170"/>
      <c r="H101" s="265"/>
      <c r="I101" s="140"/>
      <c r="J101" s="170"/>
      <c r="K101" s="265"/>
      <c r="L101" s="140"/>
      <c r="M101" s="170"/>
      <c r="N101" s="265"/>
      <c r="O101" s="140"/>
      <c r="P101" s="170"/>
      <c r="Q101" s="265"/>
      <c r="R101" s="140"/>
      <c r="S101" s="170"/>
      <c r="T101" s="265"/>
      <c r="U101" s="140"/>
      <c r="V101" s="157">
        <f>'As-Filed Schedule 1'!J100</f>
        <v>46798641</v>
      </c>
      <c r="W101"/>
      <c r="X101" s="274">
        <f>SUM(V101:W101)</f>
        <v>46798641</v>
      </c>
      <c r="Y101" s="140"/>
    </row>
    <row r="102" spans="1:25" s="22" customFormat="1" x14ac:dyDescent="0.35">
      <c r="A102" s="155">
        <v>63</v>
      </c>
      <c r="B102" s="472" t="s">
        <v>10</v>
      </c>
      <c r="C102" s="472"/>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0</v>
      </c>
      <c r="Y102" s="140"/>
    </row>
    <row r="103" spans="1:25" x14ac:dyDescent="0.35">
      <c r="A103" s="100"/>
      <c r="B103" s="100"/>
      <c r="C103" s="100"/>
      <c r="D103" s="100"/>
      <c r="G103" s="100"/>
      <c r="J103" s="100"/>
      <c r="M103" s="100"/>
      <c r="P103" s="100"/>
      <c r="S103" s="100"/>
      <c r="V103" s="100"/>
    </row>
    <row r="104" spans="1:25" x14ac:dyDescent="0.35">
      <c r="A104" s="155">
        <v>64</v>
      </c>
      <c r="B104" s="472" t="s">
        <v>202</v>
      </c>
      <c r="C104" s="472"/>
      <c r="D104" s="100"/>
      <c r="G104" s="172">
        <f>IFERROR(G92/SUM(J92,M92,P92,S92),"")</f>
        <v>0.44994967989522888</v>
      </c>
      <c r="H104" s="172" t="str">
        <f>IFERROR(H92/SUM(K92,N92,Q92,T92),"")</f>
        <v/>
      </c>
      <c r="I104" s="172">
        <f>IFERROR(I92/SUM(L92,O92,R92,U92),"")</f>
        <v>0.44994967989522888</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08984375" defaultRowHeight="14.5" x14ac:dyDescent="0.35"/>
  <cols>
    <col min="1" max="1" width="6.90625" customWidth="1"/>
    <col min="2" max="2" width="16" customWidth="1"/>
    <col min="3" max="3" width="29.08984375" customWidth="1"/>
    <col min="4" max="6" width="19" customWidth="1"/>
    <col min="7" max="11" width="21.089843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4.9" customHeight="1" x14ac:dyDescent="0.5">
      <c r="A3" s="488" t="s">
        <v>597</v>
      </c>
      <c r="B3" s="488"/>
      <c r="C3" s="488"/>
      <c r="D3" s="488"/>
      <c r="E3" s="488"/>
      <c r="F3" s="488"/>
      <c r="G3" s="488"/>
      <c r="H3" s="488"/>
      <c r="I3" s="488"/>
      <c r="J3" s="488"/>
      <c r="K3" s="488"/>
      <c r="L3" s="488"/>
    </row>
    <row r="4" spans="1:14" x14ac:dyDescent="0.35">
      <c r="J4" s="61"/>
      <c r="L4" s="130"/>
      <c r="M4" s="130"/>
      <c r="N4" s="130"/>
    </row>
    <row r="5" spans="1:14" x14ac:dyDescent="0.35">
      <c r="A5" s="1" t="s">
        <v>773</v>
      </c>
      <c r="C5" s="420" t="str">
        <f>Results!$C$6</f>
        <v>Diversus Health</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8" t="s">
        <v>593</v>
      </c>
      <c r="J7" s="48"/>
      <c r="L7" s="40"/>
      <c r="M7" s="40"/>
      <c r="N7" s="40"/>
    </row>
    <row r="8" spans="1:14" x14ac:dyDescent="0.35">
      <c r="A8" s="1" t="s">
        <v>264</v>
      </c>
      <c r="D8" s="117">
        <f>'As-Filed Schedule 1A'!D8</f>
        <v>332850</v>
      </c>
      <c r="E8" s="309">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489" t="s">
        <v>488</v>
      </c>
      <c r="B13" s="489"/>
      <c r="C13" s="489"/>
      <c r="D13" s="489"/>
      <c r="E13" s="489"/>
      <c r="F13" s="489"/>
      <c r="G13" s="489"/>
      <c r="H13" s="489"/>
      <c r="I13" s="489"/>
      <c r="J13" s="489"/>
      <c r="K13" s="489"/>
      <c r="L13" s="62"/>
    </row>
    <row r="14" spans="1:14" ht="15" customHeight="1" x14ac:dyDescent="0.35">
      <c r="A14" s="489"/>
      <c r="B14" s="489"/>
      <c r="C14" s="489"/>
      <c r="D14" s="489"/>
      <c r="E14" s="489"/>
      <c r="F14" s="489"/>
      <c r="G14" s="489"/>
      <c r="H14" s="489"/>
      <c r="I14" s="489"/>
      <c r="J14" s="489"/>
      <c r="K14" s="489"/>
      <c r="L14" s="62"/>
    </row>
    <row r="15" spans="1:14" ht="15" customHeight="1" x14ac:dyDescent="0.35">
      <c r="A15" s="489"/>
      <c r="B15" s="489"/>
      <c r="C15" s="489"/>
      <c r="D15" s="489"/>
      <c r="E15" s="489"/>
      <c r="F15" s="489"/>
      <c r="G15" s="489"/>
      <c r="H15" s="489"/>
      <c r="I15" s="489"/>
      <c r="J15" s="489"/>
      <c r="K15" s="489"/>
      <c r="L15" s="62"/>
    </row>
    <row r="16" spans="1:14" x14ac:dyDescent="0.35">
      <c r="A16" s="489"/>
      <c r="B16" s="489"/>
      <c r="C16" s="489"/>
      <c r="D16" s="489"/>
      <c r="E16" s="489"/>
      <c r="F16" s="489"/>
      <c r="G16" s="489"/>
      <c r="H16" s="489"/>
      <c r="I16" s="489"/>
      <c r="J16" s="489"/>
      <c r="K16" s="489"/>
    </row>
    <row r="17" spans="1:27" x14ac:dyDescent="0.35">
      <c r="A17" s="174"/>
      <c r="B17" s="174"/>
      <c r="C17" s="174"/>
      <c r="D17" s="174"/>
      <c r="E17" s="174"/>
      <c r="F17" s="174"/>
      <c r="G17" s="174"/>
      <c r="H17" s="174"/>
      <c r="I17" s="174"/>
      <c r="J17" s="174"/>
      <c r="K17" s="127"/>
    </row>
    <row r="18" spans="1:27" x14ac:dyDescent="0.35">
      <c r="A18" s="174"/>
      <c r="B18" s="490">
        <v>1</v>
      </c>
      <c r="C18" s="491"/>
      <c r="D18" s="175">
        <v>2</v>
      </c>
      <c r="E18" s="175">
        <v>3</v>
      </c>
      <c r="F18" s="175">
        <v>4</v>
      </c>
      <c r="G18" s="175">
        <v>5</v>
      </c>
      <c r="H18" s="256" t="s">
        <v>566</v>
      </c>
      <c r="I18" s="257" t="s">
        <v>567</v>
      </c>
      <c r="J18" s="175">
        <v>6</v>
      </c>
      <c r="K18" s="257" t="s">
        <v>571</v>
      </c>
    </row>
    <row r="19" spans="1:27" s="4" customFormat="1" ht="58" x14ac:dyDescent="0.35">
      <c r="A19" s="176"/>
      <c r="B19" s="492" t="s">
        <v>599</v>
      </c>
      <c r="C19" s="492"/>
      <c r="D19" s="151" t="s">
        <v>600</v>
      </c>
      <c r="E19" s="151" t="s">
        <v>603</v>
      </c>
      <c r="F19" s="151" t="s">
        <v>604</v>
      </c>
      <c r="G19" s="151" t="s">
        <v>489</v>
      </c>
      <c r="H19" s="258" t="s">
        <v>601</v>
      </c>
      <c r="I19" s="259" t="s">
        <v>602</v>
      </c>
      <c r="J19" s="151" t="s">
        <v>490</v>
      </c>
      <c r="K19" s="259" t="s">
        <v>595</v>
      </c>
    </row>
    <row r="20" spans="1:27" x14ac:dyDescent="0.35">
      <c r="A20" s="177">
        <v>1</v>
      </c>
      <c r="B20" s="487" t="str">
        <f>IF('As-Filed Schedule 1A'!B20:C20=0,"",'As-Filed Schedule 1A'!B20:C20)</f>
        <v>Chief Executive Officer</v>
      </c>
      <c r="C20" s="487"/>
      <c r="D20" s="178">
        <f>IF('As-Filed Schedule 1A'!D20=0,"",'As-Filed Schedule 1A'!D20)</f>
        <v>2</v>
      </c>
      <c r="E20" s="179">
        <f>IF('As-Filed Schedule 1A'!E20=0,"",'As-Filed Schedule 1A'!E20)</f>
        <v>12</v>
      </c>
      <c r="F20" s="179">
        <f>IF('As-Filed Schedule 1A'!F20=0,"",'As-Filed Schedule 1A'!F20)</f>
        <v>1</v>
      </c>
      <c r="G20" s="180">
        <f>'As-Filed Schedule 1A'!G20</f>
        <v>423430.01</v>
      </c>
      <c r="H20" s="313">
        <f>SUMIFS(Adjustments!$G:$G,Adjustments!$H:$H,"1A",Adjustments!$I:$I,'Schedule 1A Adjustments'!$G$18,Adjustments!$J:$J,'Schedule 1A Adjustments'!A20)</f>
        <v>0</v>
      </c>
      <c r="I20" s="309">
        <f>SUM(G20:H20)</f>
        <v>423430.01</v>
      </c>
      <c r="J20" s="181">
        <f>IF(G20-$D$8&gt;0,G20-$D$8,0)</f>
        <v>90580.010000000009</v>
      </c>
      <c r="K20" s="181">
        <f>IF(I20-$E$8&gt;0,I20-$E$8,0)</f>
        <v>90580.010000000009</v>
      </c>
    </row>
    <row r="21" spans="1:27" x14ac:dyDescent="0.35">
      <c r="A21" s="177">
        <f>A20+1</f>
        <v>2</v>
      </c>
      <c r="B21" s="487" t="str">
        <f>IF('As-Filed Schedule 1A'!B21:C21=0,"",'As-Filed Schedule 1A'!B21:C21)</f>
        <v>Chief Medical Officer</v>
      </c>
      <c r="C21" s="487"/>
      <c r="D21" s="178">
        <f>IF('As-Filed Schedule 1A'!D21=0,"",'As-Filed Schedule 1A'!D21)</f>
        <v>2</v>
      </c>
      <c r="E21" s="179">
        <f>IF('As-Filed Schedule 1A'!E21=0,"",'As-Filed Schedule 1A'!E21)</f>
        <v>12</v>
      </c>
      <c r="F21" s="179">
        <f>IF('As-Filed Schedule 1A'!F21=0,"",'As-Filed Schedule 1A'!F21)</f>
        <v>1</v>
      </c>
      <c r="G21" s="180">
        <f>'As-Filed Schedule 1A'!G21</f>
        <v>353715.74961817428</v>
      </c>
      <c r="H21" s="313">
        <f>SUMIFS(Adjustments!$G:$G,Adjustments!$H:$H,"1A",Adjustments!$I:$I,'Schedule 1A Adjustments'!$G$18,Adjustments!$J:$J,'Schedule 1A Adjustments'!A21)</f>
        <v>0</v>
      </c>
      <c r="I21" s="309">
        <f t="shared" ref="I21:I24" si="0">SUM(G21:H21)</f>
        <v>353715.74961817428</v>
      </c>
      <c r="J21" s="181">
        <f>IF(G21-$D$8&gt;0,G21-$D$8,0)</f>
        <v>20865.749618174275</v>
      </c>
      <c r="K21" s="181">
        <f>IF(I21-$E$8&gt;0,I21-$E$8,0)</f>
        <v>20865.749618174275</v>
      </c>
    </row>
    <row r="22" spans="1:27" x14ac:dyDescent="0.35">
      <c r="A22" s="177">
        <f t="shared" ref="A22:A30" si="1">A21+1</f>
        <v>3</v>
      </c>
      <c r="B22" s="487" t="str">
        <f>IF('As-Filed Schedule 1A'!B22:C22=0,"",'As-Filed Schedule 1A'!B22:C22)</f>
        <v>Chief Clinical Officer</v>
      </c>
      <c r="C22" s="487"/>
      <c r="D22" s="178">
        <f>IF('As-Filed Schedule 1A'!D22=0,"",'As-Filed Schedule 1A'!D22)</f>
        <v>2</v>
      </c>
      <c r="E22" s="179">
        <f>IF('As-Filed Schedule 1A'!E22=0,"",'As-Filed Schedule 1A'!E22)</f>
        <v>12</v>
      </c>
      <c r="F22" s="179">
        <f>IF('As-Filed Schedule 1A'!F22=0,"",'As-Filed Schedule 1A'!F22)</f>
        <v>1</v>
      </c>
      <c r="G22" s="180">
        <f>'As-Filed Schedule 1A'!G22</f>
        <v>237724.73000000016</v>
      </c>
      <c r="H22" s="313">
        <f>SUMIFS(Adjustments!$G:$G,Adjustments!$H:$H,"1A",Adjustments!$I:$I,'Schedule 1A Adjustments'!$G$18,Adjustments!$J:$J,'Schedule 1A Adjustments'!A22)</f>
        <v>0</v>
      </c>
      <c r="I22" s="309">
        <f t="shared" si="0"/>
        <v>237724.73000000016</v>
      </c>
      <c r="J22" s="181">
        <f>IF(G22-$D$8&gt;0,G22-$D$8,0)</f>
        <v>0</v>
      </c>
      <c r="K22" s="181">
        <f>IF(I22-$E$8&gt;0,I22-$E$8,0)</f>
        <v>0</v>
      </c>
    </row>
    <row r="23" spans="1:27" x14ac:dyDescent="0.35">
      <c r="A23" s="177">
        <f t="shared" si="1"/>
        <v>4</v>
      </c>
      <c r="B23" s="487" t="str">
        <f>IF('As-Filed Schedule 1A'!B23:C23=0,"",'As-Filed Schedule 1A'!B23:C23)</f>
        <v>Chief Operating Officer</v>
      </c>
      <c r="C23" s="487"/>
      <c r="D23" s="178">
        <f>IF('As-Filed Schedule 1A'!D23=0,"",'As-Filed Schedule 1A'!D23)</f>
        <v>2</v>
      </c>
      <c r="E23" s="179">
        <f>IF('As-Filed Schedule 1A'!E23=0,"",'As-Filed Schedule 1A'!E23)</f>
        <v>12</v>
      </c>
      <c r="F23" s="179">
        <f>IF('As-Filed Schedule 1A'!F23=0,"",'As-Filed Schedule 1A'!F23)</f>
        <v>1</v>
      </c>
      <c r="G23" s="180">
        <f>'As-Filed Schedule 1A'!G23</f>
        <v>228924.03727509509</v>
      </c>
      <c r="H23" s="313">
        <f>SUMIFS(Adjustments!$G:$G,Adjustments!$H:$H,"1A",Adjustments!$I:$I,'Schedule 1A Adjustments'!$G$18,Adjustments!$J:$J,'Schedule 1A Adjustments'!A23)</f>
        <v>0</v>
      </c>
      <c r="I23" s="309">
        <f t="shared" si="0"/>
        <v>228924.03727509509</v>
      </c>
      <c r="J23" s="181">
        <f>IF(G23-$D$8&gt;0,G23-$D$8,0)</f>
        <v>0</v>
      </c>
      <c r="K23" s="181">
        <f>IF(I23-$E$8&gt;0,I23-$E$8,0)</f>
        <v>0</v>
      </c>
    </row>
    <row r="24" spans="1:27" x14ac:dyDescent="0.35">
      <c r="A24" s="177">
        <f t="shared" si="1"/>
        <v>5</v>
      </c>
      <c r="B24" s="487" t="str">
        <f>IF('As-Filed Schedule 1A'!B24:C24=0,"",'As-Filed Schedule 1A'!B24:C24)</f>
        <v>Chief Information Officer</v>
      </c>
      <c r="C24" s="487"/>
      <c r="D24" s="178">
        <f>IF('As-Filed Schedule 1A'!D24=0,"",'As-Filed Schedule 1A'!D24)</f>
        <v>2</v>
      </c>
      <c r="E24" s="179">
        <f>IF('As-Filed Schedule 1A'!E24=0,"",'As-Filed Schedule 1A'!E24)</f>
        <v>12</v>
      </c>
      <c r="F24" s="179">
        <f>IF('As-Filed Schedule 1A'!F24=0,"",'As-Filed Schedule 1A'!F24)</f>
        <v>1</v>
      </c>
      <c r="G24" s="180">
        <f>'As-Filed Schedule 1A'!G24</f>
        <v>195011.21863368686</v>
      </c>
      <c r="H24" s="313">
        <f>SUMIFS(Adjustments!$G:$G,Adjustments!$H:$H,"1A",Adjustments!$I:$I,'Schedule 1A Adjustments'!$G$18,Adjustments!$J:$J,'Schedule 1A Adjustments'!A24)</f>
        <v>0</v>
      </c>
      <c r="I24" s="309">
        <f t="shared" si="0"/>
        <v>195011.21863368686</v>
      </c>
      <c r="J24" s="181">
        <f>IF(G24-$D$8&gt;0,G24-$D$8,0)</f>
        <v>0</v>
      </c>
      <c r="K24" s="181">
        <f>IF(I24-$E$8&gt;0,I24-$E$8,0)</f>
        <v>0</v>
      </c>
    </row>
    <row r="25" spans="1:27" x14ac:dyDescent="0.35">
      <c r="A25" s="182">
        <f t="shared" si="1"/>
        <v>6</v>
      </c>
      <c r="B25" s="312" t="s">
        <v>598</v>
      </c>
      <c r="C25" s="100"/>
      <c r="D25" s="100"/>
      <c r="E25" s="100"/>
      <c r="F25" s="100"/>
      <c r="G25" s="100"/>
      <c r="H25" s="100"/>
      <c r="I25" s="100"/>
      <c r="J25" s="183">
        <f>SUM(J20:J24)</f>
        <v>111445.75961817428</v>
      </c>
      <c r="K25" s="183">
        <f>SUM(K20:K24)</f>
        <v>111445.75961817428</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111445.75961817428</v>
      </c>
      <c r="K27" s="185">
        <f>SUMIF($D$20:$D$24,2,$K$20:$K$24)</f>
        <v>111445.75961817428</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08984375" defaultRowHeight="14.5" x14ac:dyDescent="0.35"/>
  <cols>
    <col min="1" max="1" width="6.54296875" customWidth="1"/>
    <col min="2" max="2" width="18.453125" customWidth="1"/>
    <col min="3" max="3" width="13" customWidth="1"/>
    <col min="4" max="12" width="20.36328125" customWidth="1"/>
    <col min="13" max="13" width="20.90625" style="69" customWidth="1"/>
    <col min="14" max="14" width="36.6328125" customWidth="1"/>
    <col min="16" max="16" width="43.90625" customWidth="1"/>
    <col min="17" max="18" width="32.6328125" customWidth="1"/>
  </cols>
  <sheetData>
    <row r="1" spans="1:29" ht="26" x14ac:dyDescent="0.6">
      <c r="A1" s="3" t="s">
        <v>774</v>
      </c>
      <c r="B1" s="3"/>
      <c r="C1" s="3"/>
    </row>
    <row r="2" spans="1:29" ht="21" x14ac:dyDescent="0.5">
      <c r="A2" s="2" t="s">
        <v>772</v>
      </c>
      <c r="B2" s="2"/>
      <c r="C2" s="2"/>
    </row>
    <row r="3" spans="1:29" ht="24.9" customHeight="1" x14ac:dyDescent="0.5">
      <c r="A3" s="5" t="s">
        <v>757</v>
      </c>
    </row>
    <row r="5" spans="1:29" x14ac:dyDescent="0.35">
      <c r="A5" s="1" t="s">
        <v>773</v>
      </c>
      <c r="C5" s="420" t="str">
        <f>Results!$C$6</f>
        <v>Diversus Health</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496" t="s">
        <v>922</v>
      </c>
      <c r="B9" s="496"/>
      <c r="C9" s="496"/>
      <c r="D9" s="496"/>
      <c r="E9" s="496"/>
      <c r="F9" s="496"/>
      <c r="G9" s="496"/>
      <c r="H9" s="496"/>
      <c r="I9" s="496"/>
      <c r="J9" s="496"/>
      <c r="K9" s="496"/>
      <c r="L9" s="496"/>
      <c r="M9" s="496"/>
      <c r="N9" s="496"/>
      <c r="O9" s="64"/>
      <c r="P9" s="40"/>
      <c r="Q9" s="40"/>
      <c r="R9" s="40"/>
      <c r="Y9" s="65"/>
      <c r="Z9" s="65"/>
      <c r="AA9" s="65"/>
      <c r="AB9" s="65"/>
      <c r="AC9" s="65"/>
    </row>
    <row r="10" spans="1:29" ht="15" customHeight="1" x14ac:dyDescent="0.35">
      <c r="A10" s="496"/>
      <c r="B10" s="496"/>
      <c r="C10" s="496"/>
      <c r="D10" s="496"/>
      <c r="E10" s="496"/>
      <c r="F10" s="496"/>
      <c r="G10" s="496"/>
      <c r="H10" s="496"/>
      <c r="I10" s="496"/>
      <c r="J10" s="496"/>
      <c r="K10" s="496"/>
      <c r="L10" s="496"/>
      <c r="M10" s="496"/>
      <c r="N10" s="496"/>
      <c r="O10" s="64"/>
      <c r="P10" s="40"/>
      <c r="Q10" s="40"/>
      <c r="R10" s="40"/>
      <c r="Y10" s="65"/>
      <c r="Z10" s="65"/>
      <c r="AA10" s="65"/>
      <c r="AB10" s="65"/>
      <c r="AC10" s="65"/>
    </row>
    <row r="11" spans="1:29" x14ac:dyDescent="0.35">
      <c r="A11" s="496"/>
      <c r="B11" s="496"/>
      <c r="C11" s="496"/>
      <c r="D11" s="496"/>
      <c r="E11" s="496"/>
      <c r="F11" s="496"/>
      <c r="G11" s="496"/>
      <c r="H11" s="496"/>
      <c r="I11" s="496"/>
      <c r="J11" s="496"/>
      <c r="K11" s="496"/>
      <c r="L11" s="496"/>
      <c r="M11" s="496"/>
      <c r="N11" s="496"/>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497">
        <v>1</v>
      </c>
      <c r="C13" s="497"/>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492" t="s">
        <v>606</v>
      </c>
      <c r="C14" s="498"/>
      <c r="D14" s="151" t="s">
        <v>781</v>
      </c>
      <c r="E14" s="258" t="s">
        <v>782</v>
      </c>
      <c r="F14" s="259" t="s">
        <v>783</v>
      </c>
      <c r="G14" s="192" t="s">
        <v>263</v>
      </c>
      <c r="H14" s="307" t="s">
        <v>605</v>
      </c>
      <c r="I14" s="315"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487" t="str">
        <f>IF('As-Filed Schedule 1C'!B15:C15=0,"",'As-Filed Schedule 1C'!B15:C15)</f>
        <v>Rent</v>
      </c>
      <c r="C15" s="487"/>
      <c r="D15" s="180">
        <f>'As-Filed Schedule 1C'!D15</f>
        <v>448263.08</v>
      </c>
      <c r="E15" s="313">
        <f>SUMIFS(Adjustments!$G:$G,Adjustments!$H:$H,"1C",Adjustments!$I:$I,'Schedule 1C Adjustments'!$D$13,Adjustments!$J:$J,'Schedule 1C Adjustments'!A15)</f>
        <v>0</v>
      </c>
      <c r="F15" s="309">
        <f>SUM(D15:E15)</f>
        <v>448263.08</v>
      </c>
      <c r="G15" s="180">
        <f>'As-Filed Schedule 1C'!E15</f>
        <v>448263.08</v>
      </c>
      <c r="H15" s="313">
        <f>SUMIFS(Adjustments!$G:$G,Adjustments!$H:$H,"1C",Adjustments!$I:$I,'Schedule 1C Adjustments'!$G$13,Adjustments!$J:$J,'Schedule 1C Adjustments'!A15)</f>
        <v>0</v>
      </c>
      <c r="I15" s="309">
        <f>SUM(G15:H15)</f>
        <v>448263.08</v>
      </c>
      <c r="J15" s="194">
        <f>IF(D15-G15&lt;0,0,D15-G15)</f>
        <v>0</v>
      </c>
      <c r="K15" s="194">
        <f>IF(F15-I15&lt;0,0,F15-I15)</f>
        <v>0</v>
      </c>
      <c r="L15" s="195">
        <f>IF('As-Filed Schedule 1C'!G15=0,"",'As-Filed Schedule 1C'!G15)</f>
        <v>3</v>
      </c>
      <c r="M15" s="178">
        <f>IF('As-Filed Schedule 1C'!H15=0,"",'As-Filed Schedule 1C'!H15)</f>
        <v>6505</v>
      </c>
      <c r="N15" s="196" t="str">
        <f>IF('As-Filed Schedule 1C'!I15=0,"",'As-Filed Schedule 1C'!I15)</f>
        <v>Diversus Health Properties</v>
      </c>
      <c r="O15" s="66"/>
      <c r="Y15" s="67"/>
      <c r="Z15" s="67"/>
      <c r="AA15" s="67"/>
      <c r="AB15" s="67"/>
      <c r="AC15" s="67"/>
    </row>
    <row r="16" spans="1:29" s="4" customFormat="1" ht="15" customHeight="1" x14ac:dyDescent="0.35">
      <c r="A16" s="182">
        <f>A15+1</f>
        <v>2</v>
      </c>
      <c r="B16" s="487" t="str">
        <f>IF('As-Filed Schedule 1C'!B16:C16=0,"",'As-Filed Schedule 1C'!B16:C16)</f>
        <v>Triple Net (NNN)</v>
      </c>
      <c r="C16" s="487"/>
      <c r="D16" s="180">
        <f>'As-Filed Schedule 1C'!D16</f>
        <v>2939316.55</v>
      </c>
      <c r="E16" s="313">
        <f>SUMIFS(Adjustments!$G:$G,Adjustments!$H:$H,"1C",Adjustments!$I:$I,'Schedule 1C Adjustments'!$D$13,Adjustments!$J:$J,'Schedule 1C Adjustments'!A16)</f>
        <v>0</v>
      </c>
      <c r="F16" s="309">
        <f t="shared" ref="F16:F24" si="0">SUM(D16:E16)</f>
        <v>2939316.55</v>
      </c>
      <c r="G16" s="180">
        <f>'As-Filed Schedule 1C'!E16</f>
        <v>2939316.55</v>
      </c>
      <c r="H16" s="313">
        <f>SUMIFS(Adjustments!$G:$G,Adjustments!$H:$H,"1C",Adjustments!$I:$I,'Schedule 1C Adjustments'!$G$13,Adjustments!$J:$J,'Schedule 1C Adjustments'!A16)</f>
        <v>0</v>
      </c>
      <c r="I16" s="309">
        <f t="shared" ref="I16:I24" si="1">SUM(G16:H16)</f>
        <v>2939316.55</v>
      </c>
      <c r="J16" s="194">
        <f t="shared" ref="J16:J24" si="2">IF(D16-G16&lt;0,0,D16-G16)</f>
        <v>0</v>
      </c>
      <c r="K16" s="194">
        <f t="shared" ref="K16:K24" si="3">IF(F16-I16&lt;0,0,F16-I16)</f>
        <v>0</v>
      </c>
      <c r="L16" s="195">
        <f>IF('As-Filed Schedule 1C'!G16=0,"",'As-Filed Schedule 1C'!G16)</f>
        <v>3</v>
      </c>
      <c r="M16" s="178">
        <f>IF('As-Filed Schedule 1C'!H16=0,"",'As-Filed Schedule 1C'!H16)</f>
        <v>6540</v>
      </c>
      <c r="N16" s="196" t="str">
        <f>IF('As-Filed Schedule 1C'!I16=0,"",'As-Filed Schedule 1C'!I16)</f>
        <v>Diversus Health Properties</v>
      </c>
      <c r="O16" s="142"/>
      <c r="Y16" s="67"/>
      <c r="Z16" s="67"/>
      <c r="AA16" s="67"/>
      <c r="AB16" s="67"/>
      <c r="AC16" s="67"/>
    </row>
    <row r="17" spans="1:29" s="4" customFormat="1" ht="15" customHeight="1" x14ac:dyDescent="0.35">
      <c r="A17" s="182">
        <f t="shared" ref="A17:A30" si="4">A16+1</f>
        <v>3</v>
      </c>
      <c r="B17" s="487" t="str">
        <f>IF('As-Filed Schedule 1C'!B17:C17=0,"",'As-Filed Schedule 1C'!B17:C17)</f>
        <v/>
      </c>
      <c r="C17" s="487"/>
      <c r="D17" s="180">
        <f>'As-Filed Schedule 1C'!D17</f>
        <v>0</v>
      </c>
      <c r="E17" s="313">
        <f>SUMIFS(Adjustments!$G:$G,Adjustments!$H:$H,"1C",Adjustments!$I:$I,'Schedule 1C Adjustments'!$D$13,Adjustments!$J:$J,'Schedule 1C Adjustments'!A17)</f>
        <v>0</v>
      </c>
      <c r="F17" s="309">
        <f t="shared" si="0"/>
        <v>0</v>
      </c>
      <c r="G17" s="180">
        <f>'As-Filed Schedule 1C'!E17</f>
        <v>0</v>
      </c>
      <c r="H17" s="313">
        <f>SUMIFS(Adjustments!$G:$G,Adjustments!$H:$H,"1C",Adjustments!$I:$I,'Schedule 1C Adjustments'!$G$13,Adjustments!$J:$J,'Schedule 1C Adjustments'!A17)</f>
        <v>0</v>
      </c>
      <c r="I17" s="309">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487" t="str">
        <f>IF('As-Filed Schedule 1C'!B18:C18=0,"",'As-Filed Schedule 1C'!B18:C18)</f>
        <v/>
      </c>
      <c r="C18" s="487"/>
      <c r="D18" s="180">
        <f>'As-Filed Schedule 1C'!D18</f>
        <v>0</v>
      </c>
      <c r="E18" s="313">
        <f>SUMIFS(Adjustments!$G:$G,Adjustments!$H:$H,"1C",Adjustments!$I:$I,'Schedule 1C Adjustments'!$D$13,Adjustments!$J:$J,'Schedule 1C Adjustments'!A18)</f>
        <v>0</v>
      </c>
      <c r="F18" s="309">
        <f t="shared" si="0"/>
        <v>0</v>
      </c>
      <c r="G18" s="180">
        <f>'As-Filed Schedule 1C'!E18</f>
        <v>0</v>
      </c>
      <c r="H18" s="313">
        <f>SUMIFS(Adjustments!$G:$G,Adjustments!$H:$H,"1C",Adjustments!$I:$I,'Schedule 1C Adjustments'!$G$13,Adjustments!$J:$J,'Schedule 1C Adjustments'!A18)</f>
        <v>0</v>
      </c>
      <c r="I18" s="309">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487" t="str">
        <f>IF('As-Filed Schedule 1C'!B19:C19=0,"",'As-Filed Schedule 1C'!B19:C19)</f>
        <v/>
      </c>
      <c r="C19" s="487"/>
      <c r="D19" s="180">
        <f>'As-Filed Schedule 1C'!D19</f>
        <v>0</v>
      </c>
      <c r="E19" s="313">
        <f>SUMIFS(Adjustments!$G:$G,Adjustments!$H:$H,"1C",Adjustments!$I:$I,'Schedule 1C Adjustments'!$D$13,Adjustments!$J:$J,'Schedule 1C Adjustments'!A19)</f>
        <v>0</v>
      </c>
      <c r="F19" s="309">
        <f t="shared" si="0"/>
        <v>0</v>
      </c>
      <c r="G19" s="180">
        <f>'As-Filed Schedule 1C'!E19</f>
        <v>0</v>
      </c>
      <c r="H19" s="313">
        <f>SUMIFS(Adjustments!$G:$G,Adjustments!$H:$H,"1C",Adjustments!$I:$I,'Schedule 1C Adjustments'!$G$13,Adjustments!$J:$J,'Schedule 1C Adjustments'!A19)</f>
        <v>0</v>
      </c>
      <c r="I19" s="309">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487" t="str">
        <f>IF('As-Filed Schedule 1C'!B20:C20=0,"",'As-Filed Schedule 1C'!B20:C20)</f>
        <v/>
      </c>
      <c r="C20" s="487"/>
      <c r="D20" s="180">
        <f>'As-Filed Schedule 1C'!D20</f>
        <v>0</v>
      </c>
      <c r="E20" s="313">
        <f>SUMIFS(Adjustments!$G:$G,Adjustments!$H:$H,"1C",Adjustments!$I:$I,'Schedule 1C Adjustments'!$D$13,Adjustments!$J:$J,'Schedule 1C Adjustments'!A20)</f>
        <v>0</v>
      </c>
      <c r="F20" s="309">
        <f t="shared" si="0"/>
        <v>0</v>
      </c>
      <c r="G20" s="180">
        <f>'As-Filed Schedule 1C'!E20</f>
        <v>0</v>
      </c>
      <c r="H20" s="313">
        <f>SUMIFS(Adjustments!$G:$G,Adjustments!$H:$H,"1C",Adjustments!$I:$I,'Schedule 1C Adjustments'!$G$13,Adjustments!$J:$J,'Schedule 1C Adjustments'!A20)</f>
        <v>0</v>
      </c>
      <c r="I20" s="309">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487" t="str">
        <f>IF('As-Filed Schedule 1C'!B21:C21=0,"",'As-Filed Schedule 1C'!B21:C21)</f>
        <v/>
      </c>
      <c r="C21" s="487"/>
      <c r="D21" s="180">
        <f>'As-Filed Schedule 1C'!D21</f>
        <v>0</v>
      </c>
      <c r="E21" s="313">
        <f>SUMIFS(Adjustments!$G:$G,Adjustments!$H:$H,"1C",Adjustments!$I:$I,'Schedule 1C Adjustments'!$D$13,Adjustments!$J:$J,'Schedule 1C Adjustments'!A21)</f>
        <v>0</v>
      </c>
      <c r="F21" s="309">
        <f t="shared" si="0"/>
        <v>0</v>
      </c>
      <c r="G21" s="180">
        <f>'As-Filed Schedule 1C'!E21</f>
        <v>0</v>
      </c>
      <c r="H21" s="313">
        <f>SUMIFS(Adjustments!$G:$G,Adjustments!$H:$H,"1C",Adjustments!$I:$I,'Schedule 1C Adjustments'!$G$13,Adjustments!$J:$J,'Schedule 1C Adjustments'!A21)</f>
        <v>0</v>
      </c>
      <c r="I21" s="309">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487" t="str">
        <f>IF('As-Filed Schedule 1C'!B22:C22=0,"",'As-Filed Schedule 1C'!B22:C22)</f>
        <v/>
      </c>
      <c r="C22" s="487"/>
      <c r="D22" s="180">
        <f>'As-Filed Schedule 1C'!D22</f>
        <v>0</v>
      </c>
      <c r="E22" s="313">
        <f>SUMIFS(Adjustments!$G:$G,Adjustments!$H:$H,"1C",Adjustments!$I:$I,'Schedule 1C Adjustments'!$D$13,Adjustments!$J:$J,'Schedule 1C Adjustments'!A22)</f>
        <v>0</v>
      </c>
      <c r="F22" s="309">
        <f t="shared" si="0"/>
        <v>0</v>
      </c>
      <c r="G22" s="180">
        <f>'As-Filed Schedule 1C'!E22</f>
        <v>0</v>
      </c>
      <c r="H22" s="313">
        <f>SUMIFS(Adjustments!$G:$G,Adjustments!$H:$H,"1C",Adjustments!$I:$I,'Schedule 1C Adjustments'!$G$13,Adjustments!$J:$J,'Schedule 1C Adjustments'!A22)</f>
        <v>0</v>
      </c>
      <c r="I22" s="309">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487" t="str">
        <f>IF('As-Filed Schedule 1C'!B23:C23=0,"",'As-Filed Schedule 1C'!B23:C23)</f>
        <v/>
      </c>
      <c r="C23" s="487"/>
      <c r="D23" s="180">
        <f>'As-Filed Schedule 1C'!D23</f>
        <v>0</v>
      </c>
      <c r="E23" s="313">
        <f>SUMIFS(Adjustments!$G:$G,Adjustments!$H:$H,"1C",Adjustments!$I:$I,'Schedule 1C Adjustments'!$D$13,Adjustments!$J:$J,'Schedule 1C Adjustments'!A23)</f>
        <v>0</v>
      </c>
      <c r="F23" s="309">
        <f t="shared" si="0"/>
        <v>0</v>
      </c>
      <c r="G23" s="180">
        <f>'As-Filed Schedule 1C'!E23</f>
        <v>0</v>
      </c>
      <c r="H23" s="313">
        <f>SUMIFS(Adjustments!$G:$G,Adjustments!$H:$H,"1C",Adjustments!$I:$I,'Schedule 1C Adjustments'!$G$13,Adjustments!$J:$J,'Schedule 1C Adjustments'!A23)</f>
        <v>0</v>
      </c>
      <c r="I23" s="309">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487" t="str">
        <f>IF('As-Filed Schedule 1C'!B24:C24=0,"",'As-Filed Schedule 1C'!B24:C24)</f>
        <v/>
      </c>
      <c r="C24" s="487"/>
      <c r="D24" s="180">
        <f>'As-Filed Schedule 1C'!D24</f>
        <v>0</v>
      </c>
      <c r="E24" s="313">
        <f>SUMIFS(Adjustments!$G:$G,Adjustments!$H:$H,"1C",Adjustments!$I:$I,'Schedule 1C Adjustments'!$D$13,Adjustments!$J:$J,'Schedule 1C Adjustments'!A24)</f>
        <v>0</v>
      </c>
      <c r="F24" s="309">
        <f t="shared" si="0"/>
        <v>0</v>
      </c>
      <c r="G24" s="180">
        <f>'As-Filed Schedule 1C'!E24</f>
        <v>0</v>
      </c>
      <c r="H24" s="313">
        <f>SUMIFS(Adjustments!$G:$G,Adjustments!$H:$H,"1C",Adjustments!$I:$I,'Schedule 1C Adjustments'!$G$13,Adjustments!$J:$J,'Schedule 1C Adjustments'!A24)</f>
        <v>0</v>
      </c>
      <c r="I24" s="309">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4" t="s">
        <v>598</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6"/>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495" t="s">
        <v>923</v>
      </c>
      <c r="B34" s="495"/>
      <c r="C34" s="495"/>
      <c r="D34" s="495"/>
      <c r="E34" s="495"/>
      <c r="F34" s="495"/>
      <c r="G34" s="495"/>
      <c r="H34" s="495"/>
      <c r="I34" s="495"/>
      <c r="J34" s="495"/>
      <c r="K34" s="495"/>
      <c r="L34" s="495"/>
      <c r="M34" s="495"/>
      <c r="N34" s="495"/>
      <c r="O34" s="64"/>
      <c r="Y34" s="65"/>
      <c r="Z34" s="65"/>
      <c r="AA34" s="65"/>
      <c r="AB34" s="65"/>
      <c r="AC34" s="65"/>
    </row>
    <row r="35" spans="1:29" x14ac:dyDescent="0.35">
      <c r="A35" s="495"/>
      <c r="B35" s="495"/>
      <c r="C35" s="495"/>
      <c r="D35" s="495"/>
      <c r="E35" s="495"/>
      <c r="F35" s="495"/>
      <c r="G35" s="495"/>
      <c r="H35" s="495"/>
      <c r="I35" s="495"/>
      <c r="J35" s="495"/>
      <c r="K35" s="495"/>
      <c r="L35" s="495"/>
      <c r="M35" s="495"/>
      <c r="N35" s="495"/>
      <c r="O35" s="64"/>
      <c r="Y35" s="65"/>
      <c r="Z35" s="65"/>
      <c r="AA35" s="65"/>
      <c r="AB35" s="65"/>
      <c r="AC35" s="65"/>
    </row>
    <row r="36" spans="1:29" x14ac:dyDescent="0.35">
      <c r="A36" s="495"/>
      <c r="B36" s="495"/>
      <c r="C36" s="495"/>
      <c r="D36" s="495"/>
      <c r="E36" s="495"/>
      <c r="F36" s="495"/>
      <c r="G36" s="495"/>
      <c r="H36" s="495"/>
      <c r="I36" s="495"/>
      <c r="J36" s="495"/>
      <c r="K36" s="495"/>
      <c r="L36" s="495"/>
      <c r="M36" s="495"/>
      <c r="N36" s="495"/>
      <c r="O36" s="64"/>
      <c r="Y36" s="65"/>
      <c r="Z36" s="65"/>
      <c r="AA36" s="65"/>
      <c r="AB36" s="65"/>
      <c r="AC36" s="65"/>
    </row>
    <row r="37" spans="1:29" x14ac:dyDescent="0.35">
      <c r="A37" s="495"/>
      <c r="B37" s="495"/>
      <c r="C37" s="495"/>
      <c r="D37" s="495"/>
      <c r="E37" s="495"/>
      <c r="F37" s="495"/>
      <c r="G37" s="495"/>
      <c r="H37" s="495"/>
      <c r="I37" s="495"/>
      <c r="J37" s="495"/>
      <c r="K37" s="495"/>
      <c r="L37" s="495"/>
      <c r="M37" s="495"/>
      <c r="N37" s="495"/>
      <c r="O37" s="64"/>
      <c r="Y37" s="65"/>
      <c r="Z37" s="65"/>
      <c r="AA37" s="65"/>
      <c r="AB37" s="65"/>
      <c r="AC37" s="65"/>
    </row>
    <row r="38" spans="1:29" x14ac:dyDescent="0.35">
      <c r="A38" s="495"/>
      <c r="B38" s="495"/>
      <c r="C38" s="495"/>
      <c r="D38" s="495"/>
      <c r="E38" s="495"/>
      <c r="F38" s="495"/>
      <c r="G38" s="495"/>
      <c r="H38" s="495"/>
      <c r="I38" s="495"/>
      <c r="J38" s="495"/>
      <c r="K38" s="495"/>
      <c r="L38" s="495"/>
      <c r="M38" s="495"/>
      <c r="N38" s="495"/>
      <c r="O38" s="64"/>
      <c r="Y38" s="65"/>
      <c r="Z38" s="65"/>
      <c r="AA38" s="65"/>
      <c r="AB38" s="65"/>
      <c r="AC38" s="65"/>
    </row>
    <row r="39" spans="1:29" x14ac:dyDescent="0.35">
      <c r="A39" s="495"/>
      <c r="B39" s="495"/>
      <c r="C39" s="495"/>
      <c r="D39" s="495"/>
      <c r="E39" s="495"/>
      <c r="F39" s="495"/>
      <c r="G39" s="495"/>
      <c r="H39" s="495"/>
      <c r="I39" s="495"/>
      <c r="J39" s="495"/>
      <c r="K39" s="495"/>
      <c r="L39" s="495"/>
      <c r="M39" s="495"/>
      <c r="N39" s="495"/>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08984375" defaultRowHeight="14.5" x14ac:dyDescent="0.35"/>
  <cols>
    <col min="1" max="1" width="9.6328125" customWidth="1"/>
    <col min="2" max="2" width="16" customWidth="1"/>
    <col min="3" max="3" width="19.453125" customWidth="1"/>
    <col min="4" max="4" width="15.453125" customWidth="1"/>
    <col min="5" max="5" width="2.36328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63281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6328125" customWidth="1"/>
    <col min="22" max="22" width="12.08984375" customWidth="1"/>
    <col min="23" max="23" width="15" style="261" bestFit="1" customWidth="1"/>
    <col min="24" max="24" width="12.08984375" style="48" customWidth="1"/>
    <col min="25" max="25" width="12.08984375" customWidth="1"/>
    <col min="26" max="26" width="15.36328125" style="261" customWidth="1"/>
    <col min="27" max="27" width="12.08984375" style="48" customWidth="1"/>
    <col min="28" max="28" width="24.54296875" customWidth="1"/>
  </cols>
  <sheetData>
    <row r="1" spans="1:31" ht="26" x14ac:dyDescent="0.6">
      <c r="A1" s="3" t="s">
        <v>774</v>
      </c>
    </row>
    <row r="2" spans="1:31" ht="21" x14ac:dyDescent="0.5">
      <c r="A2" s="2" t="s">
        <v>772</v>
      </c>
    </row>
    <row r="3" spans="1:31" ht="24.9" customHeight="1" x14ac:dyDescent="0.5">
      <c r="A3" s="488" t="s">
        <v>756</v>
      </c>
      <c r="B3" s="488"/>
      <c r="C3" s="488"/>
      <c r="D3" s="488"/>
      <c r="E3" s="488"/>
      <c r="F3" s="488"/>
      <c r="G3" s="318"/>
      <c r="H3" s="321"/>
    </row>
    <row r="4" spans="1:31" x14ac:dyDescent="0.35">
      <c r="A4" s="48"/>
    </row>
    <row r="5" spans="1:31" x14ac:dyDescent="0.35">
      <c r="A5" s="1" t="s">
        <v>773</v>
      </c>
      <c r="C5" s="420" t="str">
        <f>Results!$C$6</f>
        <v>Diversus Health</v>
      </c>
    </row>
    <row r="6" spans="1:31" x14ac:dyDescent="0.35">
      <c r="A6" s="1" t="s">
        <v>0</v>
      </c>
      <c r="C6" s="35">
        <f>Results!$C$7</f>
        <v>45473</v>
      </c>
      <c r="F6" s="35"/>
      <c r="G6" s="319"/>
      <c r="H6" s="60"/>
      <c r="V6" s="130"/>
      <c r="W6" s="329"/>
      <c r="X6" s="130"/>
      <c r="Y6" s="130"/>
      <c r="Z6" s="329"/>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29"/>
      <c r="X9" s="130"/>
      <c r="Y9" s="130"/>
      <c r="Z9" s="329"/>
      <c r="AA9" s="130"/>
      <c r="AB9" s="130"/>
    </row>
    <row r="10" spans="1:31" x14ac:dyDescent="0.35">
      <c r="A10" s="1" t="s">
        <v>254</v>
      </c>
      <c r="B10" s="1" t="s">
        <v>256</v>
      </c>
      <c r="C10" s="1"/>
      <c r="V10" s="40"/>
      <c r="W10" s="260"/>
      <c r="X10" s="40"/>
      <c r="Y10" s="40"/>
      <c r="Z10" s="260"/>
      <c r="AA10" s="40"/>
      <c r="AB10" s="40"/>
    </row>
    <row r="11" spans="1:31" x14ac:dyDescent="0.35">
      <c r="A11" s="1"/>
      <c r="B11" s="322" t="s">
        <v>598</v>
      </c>
      <c r="C11" s="1"/>
      <c r="V11" s="40"/>
      <c r="W11" s="260"/>
      <c r="X11" s="40"/>
      <c r="Y11" s="40"/>
      <c r="Z11" s="260"/>
      <c r="AA11" s="40"/>
      <c r="AB11" s="40"/>
    </row>
    <row r="12" spans="1:31" x14ac:dyDescent="0.35">
      <c r="B12" s="502">
        <v>1</v>
      </c>
      <c r="C12" s="502"/>
      <c r="D12" s="502"/>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11" t="s">
        <v>612</v>
      </c>
      <c r="C13" s="512"/>
      <c r="D13" s="513"/>
      <c r="F13" s="505" t="s">
        <v>261</v>
      </c>
      <c r="G13" s="510"/>
      <c r="H13" s="510"/>
      <c r="I13" s="510"/>
      <c r="J13" s="510"/>
      <c r="K13" s="506"/>
      <c r="L13" s="323"/>
      <c r="N13" s="505" t="s">
        <v>262</v>
      </c>
      <c r="O13" s="510"/>
      <c r="P13" s="510"/>
      <c r="Q13" s="510"/>
      <c r="R13" s="510"/>
      <c r="S13" s="506"/>
      <c r="T13" s="323"/>
      <c r="V13" s="508" t="s">
        <v>250</v>
      </c>
      <c r="W13" s="563" t="s">
        <v>620</v>
      </c>
      <c r="X13" s="565" t="s">
        <v>621</v>
      </c>
      <c r="Y13" s="508" t="s">
        <v>312</v>
      </c>
      <c r="Z13" s="563" t="s">
        <v>622</v>
      </c>
      <c r="AA13" s="565" t="s">
        <v>623</v>
      </c>
      <c r="AC13" s="40"/>
      <c r="AD13" s="40"/>
      <c r="AE13" s="40"/>
    </row>
    <row r="14" spans="1:31" ht="56.25" customHeight="1" x14ac:dyDescent="0.35">
      <c r="B14" s="514"/>
      <c r="C14" s="515"/>
      <c r="D14" s="516"/>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09"/>
      <c r="W14" s="564"/>
      <c r="X14" s="566"/>
      <c r="Y14" s="509"/>
      <c r="Z14" s="564"/>
      <c r="AA14" s="566"/>
    </row>
    <row r="15" spans="1:31" x14ac:dyDescent="0.35">
      <c r="A15" s="24">
        <v>1</v>
      </c>
      <c r="B15" s="507" t="str">
        <f>IF('As-Filed Schedule 2A'!B15:D15=0,"",'As-Filed Schedule 2A'!B15:D15)</f>
        <v>5040 - LTHS CRISIS WALK-IN</v>
      </c>
      <c r="C15" s="507"/>
      <c r="D15" s="507"/>
      <c r="F15" s="117">
        <f>'As-Filed Schedule 2A'!F15</f>
        <v>2528777.6656233161</v>
      </c>
      <c r="G15" s="313">
        <f>SUMIFS(Adjustments!$G:$G,Adjustments!$H:$H,"2A",Adjustments!$I:$I,'Schedule 2A Adjustments'!$F$12,Adjustments!$J:$J,'Schedule 2A Adjustments'!A15)</f>
        <v>0</v>
      </c>
      <c r="H15" s="309">
        <f>SUM(F15:G15)</f>
        <v>2528777.6656233161</v>
      </c>
      <c r="I15" s="68">
        <f>IFERROR(F15*'As-Filed Schedule 1'!$E$103,0)</f>
        <v>1137822.7011734152</v>
      </c>
      <c r="J15" s="310">
        <f>IFERROR(H15*'Adjusted Schedule 1'!$E$104,0)</f>
        <v>1137822.7011734152</v>
      </c>
      <c r="K15" s="68">
        <f>SUM(F15,I15)</f>
        <v>3666600.366796731</v>
      </c>
      <c r="L15" s="310">
        <f>SUM(H15,J15)</f>
        <v>3666600.366796731</v>
      </c>
      <c r="N15" s="117">
        <f>'As-Filed Schedule 2A'!J15</f>
        <v>226.28</v>
      </c>
      <c r="O15" s="313">
        <f>SUMIFS(Adjustments!$G:$G,Adjustments!$H:$H,"2A",Adjustments!$I:$I,'Schedule 2A Adjustments'!$N$12,Adjustments!$J:$J,'Schedule 2A Adjustments'!A15)</f>
        <v>0</v>
      </c>
      <c r="P15" s="309">
        <f>SUM(N15:O15)</f>
        <v>226.28</v>
      </c>
      <c r="Q15" s="68">
        <f>IFERROR(N15*'As-Filed Schedule 1'!$E$103,0)</f>
        <v>101.81461356669239</v>
      </c>
      <c r="R15" s="310">
        <f>IFERROR(P15*'Adjusted Schedule 1'!$E$104,0)</f>
        <v>101.81461356669239</v>
      </c>
      <c r="S15" s="68">
        <f t="shared" ref="S15:S21" si="0">SUM(N15,Q15)</f>
        <v>328.09461356669237</v>
      </c>
      <c r="T15" s="310">
        <f>SUM(P15,R15)</f>
        <v>328.09461356669237</v>
      </c>
      <c r="V15" s="120">
        <f>'As-Filed Schedule 2A'!N15</f>
        <v>15.909166666666652</v>
      </c>
      <c r="W15" s="313">
        <f>SUMIFS(Adjustments!$G:$G,Adjustments!$H:$H,"2A",Adjustments!$I:$I,'Schedule 2A Adjustments'!$V$12,Adjustments!$J:$J,'Schedule 2A Adjustments'!A15)</f>
        <v>0</v>
      </c>
      <c r="X15" s="326">
        <f>SUM(V15:W15)</f>
        <v>15.909166666666652</v>
      </c>
      <c r="Y15" s="120">
        <f>'As-Filed Schedule 2A'!O15</f>
        <v>2045</v>
      </c>
      <c r="Z15" s="313">
        <f>SUMIFS(Adjustments!$G:$G,Adjustments!$H:$H,"2A",Adjustments!$I:$I,'Schedule 2A Adjustments'!$Y$12,Adjustments!$J:$J,'Schedule 2A Adjustments'!A15)</f>
        <v>0</v>
      </c>
      <c r="AA15" s="326">
        <f>SUM(Y15:Z15)</f>
        <v>2045</v>
      </c>
    </row>
    <row r="16" spans="1:31" x14ac:dyDescent="0.35">
      <c r="A16" s="24">
        <v>2</v>
      </c>
      <c r="B16" s="507" t="str">
        <f>IF('As-Filed Schedule 2A'!B16:D16=0,"",'As-Filed Schedule 2A'!B16:D16)</f>
        <v>5080 - LTHS RELIEF UNIT</v>
      </c>
      <c r="C16" s="507"/>
      <c r="D16" s="507"/>
      <c r="F16" s="117">
        <f>'As-Filed Schedule 2A'!F16</f>
        <v>661195.94131469203</v>
      </c>
      <c r="G16" s="313">
        <f>SUMIFS(Adjustments!$G:$G,Adjustments!$H:$H,"2A",Adjustments!$I:$I,'Schedule 2A Adjustments'!$F$12,Adjustments!$J:$J,'Schedule 2A Adjustments'!A16)</f>
        <v>0</v>
      </c>
      <c r="H16" s="309">
        <f t="shared" ref="H16:H72" si="1">SUM(F16:G16)</f>
        <v>661195.94131469203</v>
      </c>
      <c r="I16" s="68">
        <f>IFERROR(F16*'As-Filed Schedule 1'!$E$103,0)</f>
        <v>297504.90214257024</v>
      </c>
      <c r="J16" s="310">
        <f>IFERROR(H16*'Adjusted Schedule 1'!$E$104,0)</f>
        <v>297504.90214257024</v>
      </c>
      <c r="K16" s="68">
        <f>SUM(F16,I16)</f>
        <v>958700.84345726226</v>
      </c>
      <c r="L16" s="310">
        <f t="shared" ref="L16:L72" si="2">SUM(H16,J16)</f>
        <v>958700.84345726226</v>
      </c>
      <c r="N16" s="117">
        <f>'As-Filed Schedule 2A'!J16</f>
        <v>0</v>
      </c>
      <c r="O16" s="313">
        <f>SUMIFS(Adjustments!$G:$G,Adjustments!$H:$H,"2A",Adjustments!$I:$I,'Schedule 2A Adjustments'!$N$12,Adjustments!$J:$J,'Schedule 2A Adjustments'!A16)</f>
        <v>0</v>
      </c>
      <c r="P16" s="309">
        <f t="shared" ref="P16:P72" si="3">SUM(N16:O16)</f>
        <v>0</v>
      </c>
      <c r="Q16" s="68">
        <f>IFERROR(N16*'As-Filed Schedule 1'!$E$103,0)</f>
        <v>0</v>
      </c>
      <c r="R16" s="310">
        <f>IFERROR(P16*'Adjusted Schedule 1'!$E$104,0)</f>
        <v>0</v>
      </c>
      <c r="S16" s="68">
        <f t="shared" si="0"/>
        <v>0</v>
      </c>
      <c r="T16" s="310">
        <f t="shared" ref="T16:T72" si="4">SUM(P16,R16)</f>
        <v>0</v>
      </c>
      <c r="V16" s="120">
        <f>'As-Filed Schedule 2A'!N16</f>
        <v>4.4974999999999978</v>
      </c>
      <c r="W16" s="313">
        <f>SUMIFS(Adjustments!$G:$G,Adjustments!$H:$H,"2A",Adjustments!$I:$I,'Schedule 2A Adjustments'!$V$12,Adjustments!$J:$J,'Schedule 2A Adjustments'!A16)</f>
        <v>0</v>
      </c>
      <c r="X16" s="326">
        <f t="shared" ref="X16:X72" si="5">SUM(V16:W16)</f>
        <v>4.4974999999999978</v>
      </c>
      <c r="Y16" s="120">
        <f>'As-Filed Schedule 2A'!O16</f>
        <v>822</v>
      </c>
      <c r="Z16" s="313">
        <f>SUMIFS(Adjustments!$G:$G,Adjustments!$H:$H,"2A",Adjustments!$I:$I,'Schedule 2A Adjustments'!$Y$12,Adjustments!$J:$J,'Schedule 2A Adjustments'!A16)</f>
        <v>0</v>
      </c>
      <c r="AA16" s="326">
        <f t="shared" ref="AA16:AA72" si="6">SUM(Y16:Z16)</f>
        <v>822</v>
      </c>
    </row>
    <row r="17" spans="1:27" x14ac:dyDescent="0.35">
      <c r="A17" s="24">
        <v>3</v>
      </c>
      <c r="B17" s="507" t="str">
        <f>IF('As-Filed Schedule 2A'!B17:D17=0,"",'As-Filed Schedule 2A'!B17:D17)</f>
        <v>5060 - LTHS MEDCAP LIAISON</v>
      </c>
      <c r="C17" s="507"/>
      <c r="D17" s="507"/>
      <c r="F17" s="117">
        <f>'As-Filed Schedule 2A'!F17</f>
        <v>0</v>
      </c>
      <c r="G17" s="313">
        <f>SUMIFS(Adjustments!$G:$G,Adjustments!$H:$H,"2A",Adjustments!$I:$I,'Schedule 2A Adjustments'!$F$12,Adjustments!$J:$J,'Schedule 2A Adjustments'!A17)</f>
        <v>0</v>
      </c>
      <c r="H17" s="309">
        <f t="shared" si="1"/>
        <v>0</v>
      </c>
      <c r="I17" s="68">
        <f>IFERROR(F17*'As-Filed Schedule 1'!$E$103,0)</f>
        <v>0</v>
      </c>
      <c r="J17" s="310">
        <f>IFERROR(H17*'Adjusted Schedule 1'!$E$104,0)</f>
        <v>0</v>
      </c>
      <c r="K17" s="68">
        <f>SUM(F17,I17)</f>
        <v>0</v>
      </c>
      <c r="L17" s="310">
        <f t="shared" si="2"/>
        <v>0</v>
      </c>
      <c r="N17" s="117">
        <f>'As-Filed Schedule 2A'!J17</f>
        <v>245509.42928738636</v>
      </c>
      <c r="O17" s="313">
        <f>SUMIFS(Adjustments!$G:$G,Adjustments!$H:$H,"2A",Adjustments!$I:$I,'Schedule 2A Adjustments'!$N$12,Adjustments!$J:$J,'Schedule 2A Adjustments'!A17)</f>
        <v>0</v>
      </c>
      <c r="P17" s="309">
        <f t="shared" si="3"/>
        <v>245509.42928738636</v>
      </c>
      <c r="Q17" s="68">
        <f>IFERROR(N17*'As-Filed Schedule 1'!$E$103,0)</f>
        <v>110466.88911911982</v>
      </c>
      <c r="R17" s="310">
        <f>IFERROR(P17*'Adjusted Schedule 1'!$E$104,0)</f>
        <v>110466.88911911982</v>
      </c>
      <c r="S17" s="68">
        <f t="shared" si="0"/>
        <v>355976.31840650621</v>
      </c>
      <c r="T17" s="310">
        <f>SUM(P17,R17)</f>
        <v>355976.31840650621</v>
      </c>
      <c r="V17" s="120">
        <f>'As-Filed Schedule 2A'!N17</f>
        <v>1.7333333333333336</v>
      </c>
      <c r="W17" s="313">
        <f>SUMIFS(Adjustments!$G:$G,Adjustments!$H:$H,"2A",Adjustments!$I:$I,'Schedule 2A Adjustments'!$V$12,Adjustments!$J:$J,'Schedule 2A Adjustments'!A17)</f>
        <v>0</v>
      </c>
      <c r="X17" s="326">
        <f t="shared" si="5"/>
        <v>1.7333333333333336</v>
      </c>
      <c r="Y17" s="120">
        <f>'As-Filed Schedule 2A'!O17</f>
        <v>0</v>
      </c>
      <c r="Z17" s="313">
        <f>SUMIFS(Adjustments!$G:$G,Adjustments!$H:$H,"2A",Adjustments!$I:$I,'Schedule 2A Adjustments'!$Y$12,Adjustments!$J:$J,'Schedule 2A Adjustments'!A17)</f>
        <v>0</v>
      </c>
      <c r="AA17" s="326">
        <f t="shared" si="6"/>
        <v>0</v>
      </c>
    </row>
    <row r="18" spans="1:27" x14ac:dyDescent="0.35">
      <c r="A18" s="24">
        <v>4</v>
      </c>
      <c r="B18" s="507" t="str">
        <f>IF('As-Filed Schedule 2A'!B18:D18=0,"",'As-Filed Schedule 2A'!B18:D18)</f>
        <v/>
      </c>
      <c r="C18" s="507"/>
      <c r="D18" s="507"/>
      <c r="F18" s="117">
        <f>'As-Filed Schedule 2A'!F18</f>
        <v>0</v>
      </c>
      <c r="G18" s="313">
        <f>SUMIFS(Adjustments!$G:$G,Adjustments!$H:$H,"2A",Adjustments!$I:$I,'Schedule 2A Adjustments'!$F$12,Adjustments!$J:$J,'Schedule 2A Adjustments'!A18)</f>
        <v>0</v>
      </c>
      <c r="H18" s="309">
        <f t="shared" si="1"/>
        <v>0</v>
      </c>
      <c r="I18" s="68">
        <f>IFERROR(F18*'As-Filed Schedule 1'!$E$103,0)</f>
        <v>0</v>
      </c>
      <c r="J18" s="310">
        <f>IFERROR(H18*'Adjusted Schedule 1'!$E$104,0)</f>
        <v>0</v>
      </c>
      <c r="K18" s="68">
        <f t="shared" ref="K18:K72" si="7">SUM(F18,I18)</f>
        <v>0</v>
      </c>
      <c r="L18" s="310">
        <f t="shared" si="2"/>
        <v>0</v>
      </c>
      <c r="N18" s="117">
        <f>'As-Filed Schedule 2A'!J18</f>
        <v>0</v>
      </c>
      <c r="O18" s="313">
        <f>SUMIFS(Adjustments!$G:$G,Adjustments!$H:$H,"2A",Adjustments!$I:$I,'Schedule 2A Adjustments'!$N$12,Adjustments!$J:$J,'Schedule 2A Adjustments'!A18)</f>
        <v>0</v>
      </c>
      <c r="P18" s="309">
        <f t="shared" si="3"/>
        <v>0</v>
      </c>
      <c r="Q18" s="68">
        <f>IFERROR(N18*'As-Filed Schedule 1'!$E$103,0)</f>
        <v>0</v>
      </c>
      <c r="R18" s="310">
        <f>IFERROR(P18*'Adjusted Schedule 1'!$E$104,0)</f>
        <v>0</v>
      </c>
      <c r="S18" s="68">
        <f t="shared" si="0"/>
        <v>0</v>
      </c>
      <c r="T18" s="310">
        <f t="shared" si="4"/>
        <v>0</v>
      </c>
      <c r="V18" s="120">
        <f>'As-Filed Schedule 2A'!N18</f>
        <v>0</v>
      </c>
      <c r="W18" s="313">
        <f>SUMIFS(Adjustments!$G:$G,Adjustments!$H:$H,"2A",Adjustments!$I:$I,'Schedule 2A Adjustments'!$V$12,Adjustments!$J:$J,'Schedule 2A Adjustments'!A18)</f>
        <v>0</v>
      </c>
      <c r="X18" s="326">
        <f t="shared" si="5"/>
        <v>0</v>
      </c>
      <c r="Y18" s="120">
        <f>'As-Filed Schedule 2A'!O18</f>
        <v>0</v>
      </c>
      <c r="Z18" s="313">
        <f>SUMIFS(Adjustments!$G:$G,Adjustments!$H:$H,"2A",Adjustments!$I:$I,'Schedule 2A Adjustments'!$Y$12,Adjustments!$J:$J,'Schedule 2A Adjustments'!A18)</f>
        <v>0</v>
      </c>
      <c r="AA18" s="326">
        <f t="shared" si="6"/>
        <v>0</v>
      </c>
    </row>
    <row r="19" spans="1:27" x14ac:dyDescent="0.35">
      <c r="A19" s="24">
        <v>5</v>
      </c>
      <c r="B19" s="507" t="str">
        <f>IF('As-Filed Schedule 2A'!B19:D19=0,"",'As-Filed Schedule 2A'!B19:D19)</f>
        <v/>
      </c>
      <c r="C19" s="507"/>
      <c r="D19" s="507"/>
      <c r="F19" s="117">
        <f>'As-Filed Schedule 2A'!F19</f>
        <v>0</v>
      </c>
      <c r="G19" s="313">
        <f>SUMIFS(Adjustments!$G:$G,Adjustments!$H:$H,"2A",Adjustments!$I:$I,'Schedule 2A Adjustments'!$F$12,Adjustments!$J:$J,'Schedule 2A Adjustments'!A19)</f>
        <v>0</v>
      </c>
      <c r="H19" s="309">
        <f t="shared" si="1"/>
        <v>0</v>
      </c>
      <c r="I19" s="68">
        <f>IFERROR(F19*'As-Filed Schedule 1'!$E$103,0)</f>
        <v>0</v>
      </c>
      <c r="J19" s="310">
        <f>IFERROR(H19*'Adjusted Schedule 1'!$E$104,0)</f>
        <v>0</v>
      </c>
      <c r="K19" s="68">
        <f t="shared" si="7"/>
        <v>0</v>
      </c>
      <c r="L19" s="310">
        <f t="shared" si="2"/>
        <v>0</v>
      </c>
      <c r="N19" s="117">
        <f>'As-Filed Schedule 2A'!J19</f>
        <v>0</v>
      </c>
      <c r="O19" s="313">
        <f>SUMIFS(Adjustments!$G:$G,Adjustments!$H:$H,"2A",Adjustments!$I:$I,'Schedule 2A Adjustments'!$N$12,Adjustments!$J:$J,'Schedule 2A Adjustments'!A19)</f>
        <v>0</v>
      </c>
      <c r="P19" s="309">
        <f t="shared" si="3"/>
        <v>0</v>
      </c>
      <c r="Q19" s="68">
        <f>IFERROR(N19*'As-Filed Schedule 1'!$E$103,0)</f>
        <v>0</v>
      </c>
      <c r="R19" s="310">
        <f>IFERROR(P19*'Adjusted Schedule 1'!$E$104,0)</f>
        <v>0</v>
      </c>
      <c r="S19" s="68">
        <f t="shared" si="0"/>
        <v>0</v>
      </c>
      <c r="T19" s="310">
        <f t="shared" si="4"/>
        <v>0</v>
      </c>
      <c r="V19" s="120">
        <f>'As-Filed Schedule 2A'!N19</f>
        <v>0</v>
      </c>
      <c r="W19" s="313">
        <f>SUMIFS(Adjustments!$G:$G,Adjustments!$H:$H,"2A",Adjustments!$I:$I,'Schedule 2A Adjustments'!$V$12,Adjustments!$J:$J,'Schedule 2A Adjustments'!A19)</f>
        <v>0</v>
      </c>
      <c r="X19" s="326">
        <f t="shared" si="5"/>
        <v>0</v>
      </c>
      <c r="Y19" s="120">
        <f>'As-Filed Schedule 2A'!O19</f>
        <v>0</v>
      </c>
      <c r="Z19" s="313">
        <f>SUMIFS(Adjustments!$G:$G,Adjustments!$H:$H,"2A",Adjustments!$I:$I,'Schedule 2A Adjustments'!$Y$12,Adjustments!$J:$J,'Schedule 2A Adjustments'!A19)</f>
        <v>0</v>
      </c>
      <c r="AA19" s="326">
        <f t="shared" si="6"/>
        <v>0</v>
      </c>
    </row>
    <row r="20" spans="1:27" x14ac:dyDescent="0.35">
      <c r="A20" s="24">
        <v>6</v>
      </c>
      <c r="B20" s="507" t="str">
        <f>IF('As-Filed Schedule 2A'!B20:D20=0,"",'As-Filed Schedule 2A'!B20:D20)</f>
        <v/>
      </c>
      <c r="C20" s="507"/>
      <c r="D20" s="507"/>
      <c r="F20" s="117">
        <f>'As-Filed Schedule 2A'!F20</f>
        <v>0</v>
      </c>
      <c r="G20" s="313">
        <f>SUMIFS(Adjustments!$G:$G,Adjustments!$H:$H,"2A",Adjustments!$I:$I,'Schedule 2A Adjustments'!$F$12,Adjustments!$J:$J,'Schedule 2A Adjustments'!A20)</f>
        <v>0</v>
      </c>
      <c r="H20" s="309">
        <f t="shared" si="1"/>
        <v>0</v>
      </c>
      <c r="I20" s="68">
        <f>IFERROR(F20*'As-Filed Schedule 1'!$E$103,0)</f>
        <v>0</v>
      </c>
      <c r="J20" s="310">
        <f>IFERROR(H20*'Adjusted Schedule 1'!$E$104,0)</f>
        <v>0</v>
      </c>
      <c r="K20" s="68">
        <f t="shared" si="7"/>
        <v>0</v>
      </c>
      <c r="L20" s="310">
        <f t="shared" si="2"/>
        <v>0</v>
      </c>
      <c r="N20" s="117">
        <f>'As-Filed Schedule 2A'!J20</f>
        <v>0</v>
      </c>
      <c r="O20" s="313">
        <f>SUMIFS(Adjustments!$G:$G,Adjustments!$H:$H,"2A",Adjustments!$I:$I,'Schedule 2A Adjustments'!$N$12,Adjustments!$J:$J,'Schedule 2A Adjustments'!A20)</f>
        <v>0</v>
      </c>
      <c r="P20" s="309">
        <f t="shared" si="3"/>
        <v>0</v>
      </c>
      <c r="Q20" s="68">
        <f>IFERROR(N20*'As-Filed Schedule 1'!$E$103,0)</f>
        <v>0</v>
      </c>
      <c r="R20" s="310">
        <f>IFERROR(P20*'Adjusted Schedule 1'!$E$104,0)</f>
        <v>0</v>
      </c>
      <c r="S20" s="68">
        <f t="shared" si="0"/>
        <v>0</v>
      </c>
      <c r="T20" s="310">
        <f t="shared" si="4"/>
        <v>0</v>
      </c>
      <c r="V20" s="120">
        <f>'As-Filed Schedule 2A'!N20</f>
        <v>0</v>
      </c>
      <c r="W20" s="313">
        <f>SUMIFS(Adjustments!$G:$G,Adjustments!$H:$H,"2A",Adjustments!$I:$I,'Schedule 2A Adjustments'!$V$12,Adjustments!$J:$J,'Schedule 2A Adjustments'!A20)</f>
        <v>0</v>
      </c>
      <c r="X20" s="326">
        <f t="shared" si="5"/>
        <v>0</v>
      </c>
      <c r="Y20" s="120">
        <f>'As-Filed Schedule 2A'!O20</f>
        <v>0</v>
      </c>
      <c r="Z20" s="313">
        <f>SUMIFS(Adjustments!$G:$G,Adjustments!$H:$H,"2A",Adjustments!$I:$I,'Schedule 2A Adjustments'!$Y$12,Adjustments!$J:$J,'Schedule 2A Adjustments'!A20)</f>
        <v>0</v>
      </c>
      <c r="AA20" s="326">
        <f t="shared" si="6"/>
        <v>0</v>
      </c>
    </row>
    <row r="21" spans="1:27" x14ac:dyDescent="0.35">
      <c r="A21" s="24">
        <v>7</v>
      </c>
      <c r="B21" s="507" t="str">
        <f>IF('As-Filed Schedule 2A'!B21:D21=0,"",'As-Filed Schedule 2A'!B21:D21)</f>
        <v/>
      </c>
      <c r="C21" s="507"/>
      <c r="D21" s="507"/>
      <c r="F21" s="117">
        <f>'As-Filed Schedule 2A'!F21</f>
        <v>0</v>
      </c>
      <c r="G21" s="313">
        <f>SUMIFS(Adjustments!$G:$G,Adjustments!$H:$H,"2A",Adjustments!$I:$I,'Schedule 2A Adjustments'!$F$12,Adjustments!$J:$J,'Schedule 2A Adjustments'!A21)</f>
        <v>0</v>
      </c>
      <c r="H21" s="309">
        <f t="shared" si="1"/>
        <v>0</v>
      </c>
      <c r="I21" s="68">
        <f>IFERROR(F21*'As-Filed Schedule 1'!$E$103,0)</f>
        <v>0</v>
      </c>
      <c r="J21" s="310">
        <f>IFERROR(H21*'Adjusted Schedule 1'!$E$104,0)</f>
        <v>0</v>
      </c>
      <c r="K21" s="68">
        <f t="shared" si="7"/>
        <v>0</v>
      </c>
      <c r="L21" s="310">
        <f t="shared" si="2"/>
        <v>0</v>
      </c>
      <c r="N21" s="117">
        <f>'As-Filed Schedule 2A'!J21</f>
        <v>0</v>
      </c>
      <c r="O21" s="313">
        <f>SUMIFS(Adjustments!$G:$G,Adjustments!$H:$H,"2A",Adjustments!$I:$I,'Schedule 2A Adjustments'!$N$12,Adjustments!$J:$J,'Schedule 2A Adjustments'!A21)</f>
        <v>0</v>
      </c>
      <c r="P21" s="309">
        <f t="shared" si="3"/>
        <v>0</v>
      </c>
      <c r="Q21" s="68">
        <f>IFERROR(N21*'As-Filed Schedule 1'!$E$103,0)</f>
        <v>0</v>
      </c>
      <c r="R21" s="310">
        <f>IFERROR(P21*'Adjusted Schedule 1'!$E$104,0)</f>
        <v>0</v>
      </c>
      <c r="S21" s="68">
        <f t="shared" si="0"/>
        <v>0</v>
      </c>
      <c r="T21" s="310">
        <f t="shared" si="4"/>
        <v>0</v>
      </c>
      <c r="V21" s="120">
        <f>'As-Filed Schedule 2A'!N21</f>
        <v>0</v>
      </c>
      <c r="W21" s="313">
        <f>SUMIFS(Adjustments!$G:$G,Adjustments!$H:$H,"2A",Adjustments!$I:$I,'Schedule 2A Adjustments'!$V$12,Adjustments!$J:$J,'Schedule 2A Adjustments'!A21)</f>
        <v>0</v>
      </c>
      <c r="X21" s="326">
        <f t="shared" si="5"/>
        <v>0</v>
      </c>
      <c r="Y21" s="120">
        <f>'As-Filed Schedule 2A'!O21</f>
        <v>0</v>
      </c>
      <c r="Z21" s="313">
        <f>SUMIFS(Adjustments!$G:$G,Adjustments!$H:$H,"2A",Adjustments!$I:$I,'Schedule 2A Adjustments'!$Y$12,Adjustments!$J:$J,'Schedule 2A Adjustments'!A21)</f>
        <v>0</v>
      </c>
      <c r="AA21" s="326">
        <f t="shared" si="6"/>
        <v>0</v>
      </c>
    </row>
    <row r="22" spans="1:27" x14ac:dyDescent="0.35">
      <c r="A22" s="24">
        <v>8</v>
      </c>
      <c r="B22" s="507" t="str">
        <f>IF('As-Filed Schedule 2A'!B22:D22=0,"",'As-Filed Schedule 2A'!B22:D22)</f>
        <v/>
      </c>
      <c r="C22" s="507"/>
      <c r="D22" s="507"/>
      <c r="F22" s="117">
        <f>'As-Filed Schedule 2A'!F22</f>
        <v>0</v>
      </c>
      <c r="G22" s="313">
        <f>SUMIFS(Adjustments!$G:$G,Adjustments!$H:$H,"2A",Adjustments!$I:$I,'Schedule 2A Adjustments'!$F$12,Adjustments!$J:$J,'Schedule 2A Adjustments'!A22)</f>
        <v>0</v>
      </c>
      <c r="H22" s="309">
        <f t="shared" si="1"/>
        <v>0</v>
      </c>
      <c r="I22" s="68">
        <f>IFERROR(F22*'As-Filed Schedule 1'!$E$103,0)</f>
        <v>0</v>
      </c>
      <c r="J22" s="310">
        <f>IFERROR(H22*'Adjusted Schedule 1'!$E$104,0)</f>
        <v>0</v>
      </c>
      <c r="K22" s="68">
        <f t="shared" si="7"/>
        <v>0</v>
      </c>
      <c r="L22" s="310">
        <f t="shared" si="2"/>
        <v>0</v>
      </c>
      <c r="N22" s="117">
        <f>'As-Filed Schedule 2A'!J22</f>
        <v>0</v>
      </c>
      <c r="O22" s="313">
        <f>SUMIFS(Adjustments!$G:$G,Adjustments!$H:$H,"2A",Adjustments!$I:$I,'Schedule 2A Adjustments'!$N$12,Adjustments!$J:$J,'Schedule 2A Adjustments'!A22)</f>
        <v>0</v>
      </c>
      <c r="P22" s="309">
        <f t="shared" si="3"/>
        <v>0</v>
      </c>
      <c r="Q22" s="68">
        <f>IFERROR(N22*'As-Filed Schedule 1'!$E$103,0)</f>
        <v>0</v>
      </c>
      <c r="R22" s="310">
        <f>IFERROR(P22*'Adjusted Schedule 1'!$E$104,0)</f>
        <v>0</v>
      </c>
      <c r="S22" s="68">
        <f t="shared" ref="S22:S72" si="8">SUM(N22,Q22)</f>
        <v>0</v>
      </c>
      <c r="T22" s="310">
        <f>SUM(P22,R22)</f>
        <v>0</v>
      </c>
      <c r="V22" s="120">
        <f>'As-Filed Schedule 2A'!N22</f>
        <v>0</v>
      </c>
      <c r="W22" s="313">
        <f>SUMIFS(Adjustments!$G:$G,Adjustments!$H:$H,"2A",Adjustments!$I:$I,'Schedule 2A Adjustments'!$V$12,Adjustments!$J:$J,'Schedule 2A Adjustments'!A22)</f>
        <v>0</v>
      </c>
      <c r="X22" s="326">
        <f t="shared" si="5"/>
        <v>0</v>
      </c>
      <c r="Y22" s="120">
        <f>'As-Filed Schedule 2A'!O22</f>
        <v>0</v>
      </c>
      <c r="Z22" s="313">
        <f>SUMIFS(Adjustments!$G:$G,Adjustments!$H:$H,"2A",Adjustments!$I:$I,'Schedule 2A Adjustments'!$Y$12,Adjustments!$J:$J,'Schedule 2A Adjustments'!A22)</f>
        <v>0</v>
      </c>
      <c r="AA22" s="326">
        <f t="shared" si="6"/>
        <v>0</v>
      </c>
    </row>
    <row r="23" spans="1:27" x14ac:dyDescent="0.35">
      <c r="A23" s="24">
        <v>9</v>
      </c>
      <c r="B23" s="507" t="str">
        <f>IF('As-Filed Schedule 2A'!B23:D23=0,"",'As-Filed Schedule 2A'!B23:D23)</f>
        <v/>
      </c>
      <c r="C23" s="507"/>
      <c r="D23" s="507"/>
      <c r="F23" s="117">
        <f>'As-Filed Schedule 2A'!F23</f>
        <v>0</v>
      </c>
      <c r="G23" s="313">
        <f>SUMIFS(Adjustments!$G:$G,Adjustments!$H:$H,"2A",Adjustments!$I:$I,'Schedule 2A Adjustments'!$F$12,Adjustments!$J:$J,'Schedule 2A Adjustments'!A23)</f>
        <v>0</v>
      </c>
      <c r="H23" s="309">
        <f t="shared" si="1"/>
        <v>0</v>
      </c>
      <c r="I23" s="68">
        <f>IFERROR(F23*'As-Filed Schedule 1'!$E$103,0)</f>
        <v>0</v>
      </c>
      <c r="J23" s="310">
        <f>IFERROR(H23*'Adjusted Schedule 1'!$E$104,0)</f>
        <v>0</v>
      </c>
      <c r="K23" s="68">
        <f t="shared" si="7"/>
        <v>0</v>
      </c>
      <c r="L23" s="310">
        <f t="shared" si="2"/>
        <v>0</v>
      </c>
      <c r="N23" s="117">
        <f>'As-Filed Schedule 2A'!J23</f>
        <v>0</v>
      </c>
      <c r="O23" s="313">
        <f>SUMIFS(Adjustments!$G:$G,Adjustments!$H:$H,"2A",Adjustments!$I:$I,'Schedule 2A Adjustments'!$N$12,Adjustments!$J:$J,'Schedule 2A Adjustments'!A23)</f>
        <v>0</v>
      </c>
      <c r="P23" s="309">
        <f t="shared" si="3"/>
        <v>0</v>
      </c>
      <c r="Q23" s="68">
        <f>IFERROR(N23*'As-Filed Schedule 1'!$E$103,0)</f>
        <v>0</v>
      </c>
      <c r="R23" s="310">
        <f>IFERROR(P23*'Adjusted Schedule 1'!$E$104,0)</f>
        <v>0</v>
      </c>
      <c r="S23" s="68">
        <f t="shared" si="8"/>
        <v>0</v>
      </c>
      <c r="T23" s="310">
        <f t="shared" si="4"/>
        <v>0</v>
      </c>
      <c r="V23" s="120">
        <f>'As-Filed Schedule 2A'!N23</f>
        <v>0</v>
      </c>
      <c r="W23" s="313">
        <f>SUMIFS(Adjustments!$G:$G,Adjustments!$H:$H,"2A",Adjustments!$I:$I,'Schedule 2A Adjustments'!$V$12,Adjustments!$J:$J,'Schedule 2A Adjustments'!A23)</f>
        <v>0</v>
      </c>
      <c r="X23" s="326">
        <f t="shared" si="5"/>
        <v>0</v>
      </c>
      <c r="Y23" s="120">
        <f>'As-Filed Schedule 2A'!O23</f>
        <v>0</v>
      </c>
      <c r="Z23" s="313">
        <f>SUMIFS(Adjustments!$G:$G,Adjustments!$H:$H,"2A",Adjustments!$I:$I,'Schedule 2A Adjustments'!$Y$12,Adjustments!$J:$J,'Schedule 2A Adjustments'!A23)</f>
        <v>0</v>
      </c>
      <c r="AA23" s="326">
        <f t="shared" si="6"/>
        <v>0</v>
      </c>
    </row>
    <row r="24" spans="1:27" x14ac:dyDescent="0.35">
      <c r="A24" s="24">
        <v>10</v>
      </c>
      <c r="B24" s="507" t="str">
        <f>IF('As-Filed Schedule 2A'!B24:D24=0,"",'As-Filed Schedule 2A'!B24:D24)</f>
        <v/>
      </c>
      <c r="C24" s="507"/>
      <c r="D24" s="507"/>
      <c r="F24" s="117">
        <f>'As-Filed Schedule 2A'!F24</f>
        <v>0</v>
      </c>
      <c r="G24" s="313">
        <f>SUMIFS(Adjustments!$G:$G,Adjustments!$H:$H,"2A",Adjustments!$I:$I,'Schedule 2A Adjustments'!$F$12,Adjustments!$J:$J,'Schedule 2A Adjustments'!A24)</f>
        <v>0</v>
      </c>
      <c r="H24" s="309">
        <f t="shared" si="1"/>
        <v>0</v>
      </c>
      <c r="I24" s="68">
        <f>IFERROR(F24*'As-Filed Schedule 1'!$E$103,0)</f>
        <v>0</v>
      </c>
      <c r="J24" s="310">
        <f>IFERROR(H24*'Adjusted Schedule 1'!$E$104,0)</f>
        <v>0</v>
      </c>
      <c r="K24" s="68">
        <f t="shared" si="7"/>
        <v>0</v>
      </c>
      <c r="L24" s="310">
        <f t="shared" si="2"/>
        <v>0</v>
      </c>
      <c r="N24" s="117">
        <f>'As-Filed Schedule 2A'!J24</f>
        <v>0</v>
      </c>
      <c r="O24" s="313">
        <f>SUMIFS(Adjustments!$G:$G,Adjustments!$H:$H,"2A",Adjustments!$I:$I,'Schedule 2A Adjustments'!$N$12,Adjustments!$J:$J,'Schedule 2A Adjustments'!A24)</f>
        <v>0</v>
      </c>
      <c r="P24" s="309">
        <f t="shared" si="3"/>
        <v>0</v>
      </c>
      <c r="Q24" s="68">
        <f>IFERROR(N24*'As-Filed Schedule 1'!$E$103,0)</f>
        <v>0</v>
      </c>
      <c r="R24" s="310">
        <f>IFERROR(P24*'Adjusted Schedule 1'!$E$104,0)</f>
        <v>0</v>
      </c>
      <c r="S24" s="68">
        <f t="shared" si="8"/>
        <v>0</v>
      </c>
      <c r="T24" s="310">
        <f t="shared" si="4"/>
        <v>0</v>
      </c>
      <c r="V24" s="120">
        <f>'As-Filed Schedule 2A'!N24</f>
        <v>0</v>
      </c>
      <c r="W24" s="313">
        <f>SUMIFS(Adjustments!$G:$G,Adjustments!$H:$H,"2A",Adjustments!$I:$I,'Schedule 2A Adjustments'!$V$12,Adjustments!$J:$J,'Schedule 2A Adjustments'!A24)</f>
        <v>0</v>
      </c>
      <c r="X24" s="326">
        <f t="shared" si="5"/>
        <v>0</v>
      </c>
      <c r="Y24" s="120">
        <f>'As-Filed Schedule 2A'!O24</f>
        <v>0</v>
      </c>
      <c r="Z24" s="313">
        <f>SUMIFS(Adjustments!$G:$G,Adjustments!$H:$H,"2A",Adjustments!$I:$I,'Schedule 2A Adjustments'!$Y$12,Adjustments!$J:$J,'Schedule 2A Adjustments'!A24)</f>
        <v>0</v>
      </c>
      <c r="AA24" s="326">
        <f t="shared" si="6"/>
        <v>0</v>
      </c>
    </row>
    <row r="25" spans="1:27" x14ac:dyDescent="0.35">
      <c r="A25" s="24">
        <v>11</v>
      </c>
      <c r="B25" s="507" t="str">
        <f>IF('As-Filed Schedule 2A'!B25:D25=0,"",'As-Filed Schedule 2A'!B25:D25)</f>
        <v/>
      </c>
      <c r="C25" s="507"/>
      <c r="D25" s="507"/>
      <c r="F25" s="117">
        <f>'As-Filed Schedule 2A'!F25</f>
        <v>0</v>
      </c>
      <c r="G25" s="313">
        <f>SUMIFS(Adjustments!$G:$G,Adjustments!$H:$H,"2A",Adjustments!$I:$I,'Schedule 2A Adjustments'!$F$12,Adjustments!$J:$J,'Schedule 2A Adjustments'!A25)</f>
        <v>0</v>
      </c>
      <c r="H25" s="309">
        <f t="shared" si="1"/>
        <v>0</v>
      </c>
      <c r="I25" s="68">
        <f>IFERROR(F25*'As-Filed Schedule 1'!$E$103,0)</f>
        <v>0</v>
      </c>
      <c r="J25" s="310">
        <f>IFERROR(H25*'Adjusted Schedule 1'!$E$104,0)</f>
        <v>0</v>
      </c>
      <c r="K25" s="68">
        <f t="shared" si="7"/>
        <v>0</v>
      </c>
      <c r="L25" s="310">
        <f t="shared" si="2"/>
        <v>0</v>
      </c>
      <c r="N25" s="117">
        <f>'As-Filed Schedule 2A'!J25</f>
        <v>0</v>
      </c>
      <c r="O25" s="313">
        <f>SUMIFS(Adjustments!$G:$G,Adjustments!$H:$H,"2A",Adjustments!$I:$I,'Schedule 2A Adjustments'!$N$12,Adjustments!$J:$J,'Schedule 2A Adjustments'!A25)</f>
        <v>0</v>
      </c>
      <c r="P25" s="309">
        <f t="shared" si="3"/>
        <v>0</v>
      </c>
      <c r="Q25" s="68">
        <f>IFERROR(N25*'As-Filed Schedule 1'!$E$103,0)</f>
        <v>0</v>
      </c>
      <c r="R25" s="310">
        <f>IFERROR(P25*'Adjusted Schedule 1'!$E$104,0)</f>
        <v>0</v>
      </c>
      <c r="S25" s="68">
        <f t="shared" si="8"/>
        <v>0</v>
      </c>
      <c r="T25" s="310">
        <f t="shared" si="4"/>
        <v>0</v>
      </c>
      <c r="V25" s="120">
        <f>'As-Filed Schedule 2A'!N25</f>
        <v>0</v>
      </c>
      <c r="W25" s="313">
        <f>SUMIFS(Adjustments!$G:$G,Adjustments!$H:$H,"2A",Adjustments!$I:$I,'Schedule 2A Adjustments'!$V$12,Adjustments!$J:$J,'Schedule 2A Adjustments'!A25)</f>
        <v>0</v>
      </c>
      <c r="X25" s="326">
        <f t="shared" si="5"/>
        <v>0</v>
      </c>
      <c r="Y25" s="120">
        <f>'As-Filed Schedule 2A'!O25</f>
        <v>0</v>
      </c>
      <c r="Z25" s="313">
        <f>SUMIFS(Adjustments!$G:$G,Adjustments!$H:$H,"2A",Adjustments!$I:$I,'Schedule 2A Adjustments'!$Y$12,Adjustments!$J:$J,'Schedule 2A Adjustments'!A25)</f>
        <v>0</v>
      </c>
      <c r="AA25" s="326">
        <f t="shared" si="6"/>
        <v>0</v>
      </c>
    </row>
    <row r="26" spans="1:27" x14ac:dyDescent="0.35">
      <c r="A26" s="24">
        <v>12</v>
      </c>
      <c r="B26" s="507" t="str">
        <f>IF('As-Filed Schedule 2A'!B26:D26=0,"",'As-Filed Schedule 2A'!B26:D26)</f>
        <v/>
      </c>
      <c r="C26" s="507"/>
      <c r="D26" s="507"/>
      <c r="F26" s="117">
        <f>'As-Filed Schedule 2A'!F26</f>
        <v>0</v>
      </c>
      <c r="G26" s="313">
        <f>SUMIFS(Adjustments!$G:$G,Adjustments!$H:$H,"2A",Adjustments!$I:$I,'Schedule 2A Adjustments'!$F$12,Adjustments!$J:$J,'Schedule 2A Adjustments'!A26)</f>
        <v>0</v>
      </c>
      <c r="H26" s="309">
        <f t="shared" si="1"/>
        <v>0</v>
      </c>
      <c r="I26" s="68">
        <f>IFERROR(F26*'As-Filed Schedule 1'!$E$103,0)</f>
        <v>0</v>
      </c>
      <c r="J26" s="310">
        <f>IFERROR(H26*'Adjusted Schedule 1'!$E$104,0)</f>
        <v>0</v>
      </c>
      <c r="K26" s="68">
        <f t="shared" si="7"/>
        <v>0</v>
      </c>
      <c r="L26" s="310">
        <f t="shared" si="2"/>
        <v>0</v>
      </c>
      <c r="N26" s="117">
        <f>'As-Filed Schedule 2A'!J26</f>
        <v>0</v>
      </c>
      <c r="O26" s="313">
        <f>SUMIFS(Adjustments!$G:$G,Adjustments!$H:$H,"2A",Adjustments!$I:$I,'Schedule 2A Adjustments'!$N$12,Adjustments!$J:$J,'Schedule 2A Adjustments'!A26)</f>
        <v>0</v>
      </c>
      <c r="P26" s="309">
        <f t="shared" si="3"/>
        <v>0</v>
      </c>
      <c r="Q26" s="68">
        <f>IFERROR(N26*'As-Filed Schedule 1'!$E$103,0)</f>
        <v>0</v>
      </c>
      <c r="R26" s="310">
        <f>IFERROR(P26*'Adjusted Schedule 1'!$E$104,0)</f>
        <v>0</v>
      </c>
      <c r="S26" s="68">
        <f t="shared" si="8"/>
        <v>0</v>
      </c>
      <c r="T26" s="310">
        <f t="shared" si="4"/>
        <v>0</v>
      </c>
      <c r="V26" s="120">
        <f>'As-Filed Schedule 2A'!N26</f>
        <v>0</v>
      </c>
      <c r="W26" s="313">
        <f>SUMIFS(Adjustments!$G:$G,Adjustments!$H:$H,"2A",Adjustments!$I:$I,'Schedule 2A Adjustments'!$V$12,Adjustments!$J:$J,'Schedule 2A Adjustments'!A26)</f>
        <v>0</v>
      </c>
      <c r="X26" s="326">
        <f t="shared" si="5"/>
        <v>0</v>
      </c>
      <c r="Y26" s="120">
        <f>'As-Filed Schedule 2A'!O26</f>
        <v>0</v>
      </c>
      <c r="Z26" s="313">
        <f>SUMIFS(Adjustments!$G:$G,Adjustments!$H:$H,"2A",Adjustments!$I:$I,'Schedule 2A Adjustments'!$Y$12,Adjustments!$J:$J,'Schedule 2A Adjustments'!A26)</f>
        <v>0</v>
      </c>
      <c r="AA26" s="326">
        <f t="shared" si="6"/>
        <v>0</v>
      </c>
    </row>
    <row r="27" spans="1:27" x14ac:dyDescent="0.35">
      <c r="A27" s="24">
        <v>13</v>
      </c>
      <c r="B27" s="507" t="str">
        <f>IF('As-Filed Schedule 2A'!B27:D27=0,"",'As-Filed Schedule 2A'!B27:D27)</f>
        <v/>
      </c>
      <c r="C27" s="507"/>
      <c r="D27" s="507"/>
      <c r="F27" s="117">
        <f>'As-Filed Schedule 2A'!F27</f>
        <v>0</v>
      </c>
      <c r="G27" s="313">
        <f>SUMIFS(Adjustments!$G:$G,Adjustments!$H:$H,"2A",Adjustments!$I:$I,'Schedule 2A Adjustments'!$F$12,Adjustments!$J:$J,'Schedule 2A Adjustments'!A27)</f>
        <v>0</v>
      </c>
      <c r="H27" s="309">
        <f t="shared" si="1"/>
        <v>0</v>
      </c>
      <c r="I27" s="68">
        <f>IFERROR(F27*'As-Filed Schedule 1'!$E$103,0)</f>
        <v>0</v>
      </c>
      <c r="J27" s="310">
        <f>IFERROR(H27*'Adjusted Schedule 1'!$E$104,0)</f>
        <v>0</v>
      </c>
      <c r="K27" s="68">
        <f t="shared" si="7"/>
        <v>0</v>
      </c>
      <c r="L27" s="310">
        <f t="shared" si="2"/>
        <v>0</v>
      </c>
      <c r="N27" s="117">
        <f>'As-Filed Schedule 2A'!J27</f>
        <v>0</v>
      </c>
      <c r="O27" s="313">
        <f>SUMIFS(Adjustments!$G:$G,Adjustments!$H:$H,"2A",Adjustments!$I:$I,'Schedule 2A Adjustments'!$N$12,Adjustments!$J:$J,'Schedule 2A Adjustments'!A27)</f>
        <v>0</v>
      </c>
      <c r="P27" s="309">
        <f t="shared" si="3"/>
        <v>0</v>
      </c>
      <c r="Q27" s="68">
        <f>IFERROR(N27*'As-Filed Schedule 1'!$E$103,0)</f>
        <v>0</v>
      </c>
      <c r="R27" s="310">
        <f>IFERROR(P27*'Adjusted Schedule 1'!$E$104,0)</f>
        <v>0</v>
      </c>
      <c r="S27" s="68">
        <f t="shared" si="8"/>
        <v>0</v>
      </c>
      <c r="T27" s="310">
        <f t="shared" si="4"/>
        <v>0</v>
      </c>
      <c r="V27" s="120">
        <f>'As-Filed Schedule 2A'!N27</f>
        <v>0</v>
      </c>
      <c r="W27" s="313">
        <f>SUMIFS(Adjustments!$G:$G,Adjustments!$H:$H,"2A",Adjustments!$I:$I,'Schedule 2A Adjustments'!$V$12,Adjustments!$J:$J,'Schedule 2A Adjustments'!A27)</f>
        <v>0</v>
      </c>
      <c r="X27" s="326">
        <f t="shared" si="5"/>
        <v>0</v>
      </c>
      <c r="Y27" s="120">
        <f>'As-Filed Schedule 2A'!O27</f>
        <v>0</v>
      </c>
      <c r="Z27" s="313">
        <f>SUMIFS(Adjustments!$G:$G,Adjustments!$H:$H,"2A",Adjustments!$I:$I,'Schedule 2A Adjustments'!$Y$12,Adjustments!$J:$J,'Schedule 2A Adjustments'!A27)</f>
        <v>0</v>
      </c>
      <c r="AA27" s="326">
        <f t="shared" si="6"/>
        <v>0</v>
      </c>
    </row>
    <row r="28" spans="1:27" x14ac:dyDescent="0.35">
      <c r="A28" s="24">
        <v>14</v>
      </c>
      <c r="B28" s="507" t="str">
        <f>IF('As-Filed Schedule 2A'!B28:D28=0,"",'As-Filed Schedule 2A'!B28:D28)</f>
        <v/>
      </c>
      <c r="C28" s="507"/>
      <c r="D28" s="507"/>
      <c r="F28" s="117">
        <f>'As-Filed Schedule 2A'!F28</f>
        <v>0</v>
      </c>
      <c r="G28" s="313">
        <f>SUMIFS(Adjustments!$G:$G,Adjustments!$H:$H,"2A",Adjustments!$I:$I,'Schedule 2A Adjustments'!$F$12,Adjustments!$J:$J,'Schedule 2A Adjustments'!A28)</f>
        <v>0</v>
      </c>
      <c r="H28" s="309">
        <f t="shared" si="1"/>
        <v>0</v>
      </c>
      <c r="I28" s="68">
        <f>IFERROR(F28*'As-Filed Schedule 1'!$E$103,0)</f>
        <v>0</v>
      </c>
      <c r="J28" s="310">
        <f>IFERROR(H28*'Adjusted Schedule 1'!$E$104,0)</f>
        <v>0</v>
      </c>
      <c r="K28" s="68">
        <f t="shared" si="7"/>
        <v>0</v>
      </c>
      <c r="L28" s="310">
        <f t="shared" si="2"/>
        <v>0</v>
      </c>
      <c r="N28" s="117">
        <f>'As-Filed Schedule 2A'!J28</f>
        <v>0</v>
      </c>
      <c r="O28" s="313">
        <f>SUMIFS(Adjustments!$G:$G,Adjustments!$H:$H,"2A",Adjustments!$I:$I,'Schedule 2A Adjustments'!$N$12,Adjustments!$J:$J,'Schedule 2A Adjustments'!A28)</f>
        <v>0</v>
      </c>
      <c r="P28" s="309">
        <f t="shared" si="3"/>
        <v>0</v>
      </c>
      <c r="Q28" s="68">
        <f>IFERROR(N28*'As-Filed Schedule 1'!$E$103,0)</f>
        <v>0</v>
      </c>
      <c r="R28" s="310">
        <f>IFERROR(P28*'Adjusted Schedule 1'!$E$104,0)</f>
        <v>0</v>
      </c>
      <c r="S28" s="68">
        <f t="shared" si="8"/>
        <v>0</v>
      </c>
      <c r="T28" s="310">
        <f t="shared" si="4"/>
        <v>0</v>
      </c>
      <c r="V28" s="120">
        <f>'As-Filed Schedule 2A'!N28</f>
        <v>0</v>
      </c>
      <c r="W28" s="313">
        <f>SUMIFS(Adjustments!$G:$G,Adjustments!$H:$H,"2A",Adjustments!$I:$I,'Schedule 2A Adjustments'!$V$12,Adjustments!$J:$J,'Schedule 2A Adjustments'!A28)</f>
        <v>0</v>
      </c>
      <c r="X28" s="326">
        <f t="shared" si="5"/>
        <v>0</v>
      </c>
      <c r="Y28" s="120">
        <f>'As-Filed Schedule 2A'!O28</f>
        <v>0</v>
      </c>
      <c r="Z28" s="313">
        <f>SUMIFS(Adjustments!$G:$G,Adjustments!$H:$H,"2A",Adjustments!$I:$I,'Schedule 2A Adjustments'!$Y$12,Adjustments!$J:$J,'Schedule 2A Adjustments'!A28)</f>
        <v>0</v>
      </c>
      <c r="AA28" s="326">
        <f t="shared" si="6"/>
        <v>0</v>
      </c>
    </row>
    <row r="29" spans="1:27" x14ac:dyDescent="0.35">
      <c r="A29" s="24">
        <v>15</v>
      </c>
      <c r="B29" s="507" t="str">
        <f>IF('As-Filed Schedule 2A'!B29:D29=0,"",'As-Filed Schedule 2A'!B29:D29)</f>
        <v/>
      </c>
      <c r="C29" s="507"/>
      <c r="D29" s="507"/>
      <c r="F29" s="117">
        <f>'As-Filed Schedule 2A'!F29</f>
        <v>0</v>
      </c>
      <c r="G29" s="313">
        <f>SUMIFS(Adjustments!$G:$G,Adjustments!$H:$H,"2A",Adjustments!$I:$I,'Schedule 2A Adjustments'!$F$12,Adjustments!$J:$J,'Schedule 2A Adjustments'!A29)</f>
        <v>0</v>
      </c>
      <c r="H29" s="309">
        <f t="shared" si="1"/>
        <v>0</v>
      </c>
      <c r="I29" s="68">
        <f>IFERROR(F29*'As-Filed Schedule 1'!$E$103,0)</f>
        <v>0</v>
      </c>
      <c r="J29" s="310">
        <f>IFERROR(H29*'Adjusted Schedule 1'!$E$104,0)</f>
        <v>0</v>
      </c>
      <c r="K29" s="68">
        <f t="shared" si="7"/>
        <v>0</v>
      </c>
      <c r="L29" s="310">
        <f t="shared" si="2"/>
        <v>0</v>
      </c>
      <c r="N29" s="117">
        <f>'As-Filed Schedule 2A'!J29</f>
        <v>0</v>
      </c>
      <c r="O29" s="313">
        <f>SUMIFS(Adjustments!$G:$G,Adjustments!$H:$H,"2A",Adjustments!$I:$I,'Schedule 2A Adjustments'!$N$12,Adjustments!$J:$J,'Schedule 2A Adjustments'!A29)</f>
        <v>0</v>
      </c>
      <c r="P29" s="309">
        <f t="shared" si="3"/>
        <v>0</v>
      </c>
      <c r="Q29" s="68">
        <f>IFERROR(N29*'As-Filed Schedule 1'!$E$103,0)</f>
        <v>0</v>
      </c>
      <c r="R29" s="310">
        <f>IFERROR(P29*'Adjusted Schedule 1'!$E$104,0)</f>
        <v>0</v>
      </c>
      <c r="S29" s="68">
        <f t="shared" si="8"/>
        <v>0</v>
      </c>
      <c r="T29" s="310">
        <f t="shared" si="4"/>
        <v>0</v>
      </c>
      <c r="V29" s="120">
        <f>'As-Filed Schedule 2A'!N29</f>
        <v>0</v>
      </c>
      <c r="W29" s="313">
        <f>SUMIFS(Adjustments!$G:$G,Adjustments!$H:$H,"2A",Adjustments!$I:$I,'Schedule 2A Adjustments'!$V$12,Adjustments!$J:$J,'Schedule 2A Adjustments'!A29)</f>
        <v>0</v>
      </c>
      <c r="X29" s="326">
        <f t="shared" si="5"/>
        <v>0</v>
      </c>
      <c r="Y29" s="120">
        <f>'As-Filed Schedule 2A'!O29</f>
        <v>0</v>
      </c>
      <c r="Z29" s="313">
        <f>SUMIFS(Adjustments!$G:$G,Adjustments!$H:$H,"2A",Adjustments!$I:$I,'Schedule 2A Adjustments'!$Y$12,Adjustments!$J:$J,'Schedule 2A Adjustments'!A29)</f>
        <v>0</v>
      </c>
      <c r="AA29" s="326">
        <f t="shared" si="6"/>
        <v>0</v>
      </c>
    </row>
    <row r="30" spans="1:27" x14ac:dyDescent="0.35">
      <c r="A30" s="24">
        <v>16</v>
      </c>
      <c r="B30" s="507" t="str">
        <f>IF('As-Filed Schedule 2A'!B30:D30=0,"",'As-Filed Schedule 2A'!B30:D30)</f>
        <v/>
      </c>
      <c r="C30" s="507"/>
      <c r="D30" s="507"/>
      <c r="F30" s="117">
        <f>'As-Filed Schedule 2A'!F30</f>
        <v>0</v>
      </c>
      <c r="G30" s="313">
        <f>SUMIFS(Adjustments!$G:$G,Adjustments!$H:$H,"2A",Adjustments!$I:$I,'Schedule 2A Adjustments'!$F$12,Adjustments!$J:$J,'Schedule 2A Adjustments'!A30)</f>
        <v>0</v>
      </c>
      <c r="H30" s="309">
        <f t="shared" si="1"/>
        <v>0</v>
      </c>
      <c r="I30" s="68">
        <f>IFERROR(F30*'As-Filed Schedule 1'!$E$103,0)</f>
        <v>0</v>
      </c>
      <c r="J30" s="310">
        <f>IFERROR(H30*'Adjusted Schedule 1'!$E$104,0)</f>
        <v>0</v>
      </c>
      <c r="K30" s="68">
        <f t="shared" si="7"/>
        <v>0</v>
      </c>
      <c r="L30" s="310">
        <f t="shared" si="2"/>
        <v>0</v>
      </c>
      <c r="N30" s="117">
        <f>'As-Filed Schedule 2A'!J30</f>
        <v>0</v>
      </c>
      <c r="O30" s="313">
        <f>SUMIFS(Adjustments!$G:$G,Adjustments!$H:$H,"2A",Adjustments!$I:$I,'Schedule 2A Adjustments'!$N$12,Adjustments!$J:$J,'Schedule 2A Adjustments'!A30)</f>
        <v>0</v>
      </c>
      <c r="P30" s="309">
        <f t="shared" si="3"/>
        <v>0</v>
      </c>
      <c r="Q30" s="68">
        <f>IFERROR(N30*'As-Filed Schedule 1'!$E$103,0)</f>
        <v>0</v>
      </c>
      <c r="R30" s="310">
        <f>IFERROR(P30*'Adjusted Schedule 1'!$E$104,0)</f>
        <v>0</v>
      </c>
      <c r="S30" s="68">
        <f t="shared" si="8"/>
        <v>0</v>
      </c>
      <c r="T30" s="310">
        <f t="shared" si="4"/>
        <v>0</v>
      </c>
      <c r="V30" s="120">
        <f>'As-Filed Schedule 2A'!N30</f>
        <v>0</v>
      </c>
      <c r="W30" s="313">
        <f>SUMIFS(Adjustments!$G:$G,Adjustments!$H:$H,"2A",Adjustments!$I:$I,'Schedule 2A Adjustments'!$V$12,Adjustments!$J:$J,'Schedule 2A Adjustments'!A30)</f>
        <v>0</v>
      </c>
      <c r="X30" s="326">
        <f t="shared" si="5"/>
        <v>0</v>
      </c>
      <c r="Y30" s="120">
        <f>'As-Filed Schedule 2A'!O30</f>
        <v>0</v>
      </c>
      <c r="Z30" s="313">
        <f>SUMIFS(Adjustments!$G:$G,Adjustments!$H:$H,"2A",Adjustments!$I:$I,'Schedule 2A Adjustments'!$Y$12,Adjustments!$J:$J,'Schedule 2A Adjustments'!A30)</f>
        <v>0</v>
      </c>
      <c r="AA30" s="326">
        <f t="shared" si="6"/>
        <v>0</v>
      </c>
    </row>
    <row r="31" spans="1:27" x14ac:dyDescent="0.35">
      <c r="A31" s="24">
        <v>17</v>
      </c>
      <c r="B31" s="507" t="str">
        <f>IF('As-Filed Schedule 2A'!B31:D31=0,"",'As-Filed Schedule 2A'!B31:D31)</f>
        <v/>
      </c>
      <c r="C31" s="507"/>
      <c r="D31" s="507"/>
      <c r="F31" s="117">
        <f>'As-Filed Schedule 2A'!F31</f>
        <v>0</v>
      </c>
      <c r="G31" s="313">
        <f>SUMIFS(Adjustments!$G:$G,Adjustments!$H:$H,"2A",Adjustments!$I:$I,'Schedule 2A Adjustments'!$F$12,Adjustments!$J:$J,'Schedule 2A Adjustments'!A31)</f>
        <v>0</v>
      </c>
      <c r="H31" s="309">
        <f t="shared" si="1"/>
        <v>0</v>
      </c>
      <c r="I31" s="68">
        <f>IFERROR(F31*'As-Filed Schedule 1'!$E$103,0)</f>
        <v>0</v>
      </c>
      <c r="J31" s="310">
        <f>IFERROR(H31*'Adjusted Schedule 1'!$E$104,0)</f>
        <v>0</v>
      </c>
      <c r="K31" s="68">
        <f t="shared" si="7"/>
        <v>0</v>
      </c>
      <c r="L31" s="310">
        <f t="shared" si="2"/>
        <v>0</v>
      </c>
      <c r="N31" s="117">
        <f>'As-Filed Schedule 2A'!J31</f>
        <v>0</v>
      </c>
      <c r="O31" s="313">
        <f>SUMIFS(Adjustments!$G:$G,Adjustments!$H:$H,"2A",Adjustments!$I:$I,'Schedule 2A Adjustments'!$N$12,Adjustments!$J:$J,'Schedule 2A Adjustments'!A31)</f>
        <v>0</v>
      </c>
      <c r="P31" s="309">
        <f t="shared" si="3"/>
        <v>0</v>
      </c>
      <c r="Q31" s="68">
        <f>IFERROR(N31*'As-Filed Schedule 1'!$E$103,0)</f>
        <v>0</v>
      </c>
      <c r="R31" s="310">
        <f>IFERROR(P31*'Adjusted Schedule 1'!$E$104,0)</f>
        <v>0</v>
      </c>
      <c r="S31" s="68">
        <f t="shared" si="8"/>
        <v>0</v>
      </c>
      <c r="T31" s="310">
        <f t="shared" si="4"/>
        <v>0</v>
      </c>
      <c r="V31" s="120">
        <f>'As-Filed Schedule 2A'!N31</f>
        <v>0</v>
      </c>
      <c r="W31" s="313">
        <f>SUMIFS(Adjustments!$G:$G,Adjustments!$H:$H,"2A",Adjustments!$I:$I,'Schedule 2A Adjustments'!$V$12,Adjustments!$J:$J,'Schedule 2A Adjustments'!A31)</f>
        <v>0</v>
      </c>
      <c r="X31" s="326">
        <f t="shared" si="5"/>
        <v>0</v>
      </c>
      <c r="Y31" s="120">
        <f>'As-Filed Schedule 2A'!O31</f>
        <v>0</v>
      </c>
      <c r="Z31" s="313">
        <f>SUMIFS(Adjustments!$G:$G,Adjustments!$H:$H,"2A",Adjustments!$I:$I,'Schedule 2A Adjustments'!$Y$12,Adjustments!$J:$J,'Schedule 2A Adjustments'!A31)</f>
        <v>0</v>
      </c>
      <c r="AA31" s="326">
        <f t="shared" si="6"/>
        <v>0</v>
      </c>
    </row>
    <row r="32" spans="1:27" x14ac:dyDescent="0.35">
      <c r="A32" s="24">
        <v>18</v>
      </c>
      <c r="B32" s="507" t="str">
        <f>IF('As-Filed Schedule 2A'!B32:D32=0,"",'As-Filed Schedule 2A'!B32:D32)</f>
        <v/>
      </c>
      <c r="C32" s="507"/>
      <c r="D32" s="507"/>
      <c r="F32" s="117">
        <f>'As-Filed Schedule 2A'!F32</f>
        <v>0</v>
      </c>
      <c r="G32" s="313">
        <f>SUMIFS(Adjustments!$G:$G,Adjustments!$H:$H,"2A",Adjustments!$I:$I,'Schedule 2A Adjustments'!$F$12,Adjustments!$J:$J,'Schedule 2A Adjustments'!A32)</f>
        <v>0</v>
      </c>
      <c r="H32" s="309">
        <f t="shared" si="1"/>
        <v>0</v>
      </c>
      <c r="I32" s="68">
        <f>IFERROR(F32*'As-Filed Schedule 1'!$E$103,0)</f>
        <v>0</v>
      </c>
      <c r="J32" s="310">
        <f>IFERROR(H32*'Adjusted Schedule 1'!$E$104,0)</f>
        <v>0</v>
      </c>
      <c r="K32" s="68">
        <f t="shared" si="7"/>
        <v>0</v>
      </c>
      <c r="L32" s="310">
        <f t="shared" si="2"/>
        <v>0</v>
      </c>
      <c r="N32" s="117">
        <f>'As-Filed Schedule 2A'!J32</f>
        <v>0</v>
      </c>
      <c r="O32" s="313">
        <f>SUMIFS(Adjustments!$G:$G,Adjustments!$H:$H,"2A",Adjustments!$I:$I,'Schedule 2A Adjustments'!$N$12,Adjustments!$J:$J,'Schedule 2A Adjustments'!A32)</f>
        <v>0</v>
      </c>
      <c r="P32" s="309">
        <f t="shared" si="3"/>
        <v>0</v>
      </c>
      <c r="Q32" s="68">
        <f>IFERROR(N32*'As-Filed Schedule 1'!$E$103,0)</f>
        <v>0</v>
      </c>
      <c r="R32" s="310">
        <f>IFERROR(P32*'Adjusted Schedule 1'!$E$104,0)</f>
        <v>0</v>
      </c>
      <c r="S32" s="68">
        <f t="shared" si="8"/>
        <v>0</v>
      </c>
      <c r="T32" s="310">
        <f t="shared" si="4"/>
        <v>0</v>
      </c>
      <c r="V32" s="120">
        <f>'As-Filed Schedule 2A'!N32</f>
        <v>0</v>
      </c>
      <c r="W32" s="313">
        <f>SUMIFS(Adjustments!$G:$G,Adjustments!$H:$H,"2A",Adjustments!$I:$I,'Schedule 2A Adjustments'!$V$12,Adjustments!$J:$J,'Schedule 2A Adjustments'!A32)</f>
        <v>0</v>
      </c>
      <c r="X32" s="326">
        <f t="shared" si="5"/>
        <v>0</v>
      </c>
      <c r="Y32" s="120">
        <f>'As-Filed Schedule 2A'!O32</f>
        <v>0</v>
      </c>
      <c r="Z32" s="313">
        <f>SUMIFS(Adjustments!$G:$G,Adjustments!$H:$H,"2A",Adjustments!$I:$I,'Schedule 2A Adjustments'!$Y$12,Adjustments!$J:$J,'Schedule 2A Adjustments'!A32)</f>
        <v>0</v>
      </c>
      <c r="AA32" s="326">
        <f t="shared" si="6"/>
        <v>0</v>
      </c>
    </row>
    <row r="33" spans="1:27" x14ac:dyDescent="0.35">
      <c r="A33" s="24">
        <v>19</v>
      </c>
      <c r="B33" s="507" t="str">
        <f>IF('As-Filed Schedule 2A'!B33:D33=0,"",'As-Filed Schedule 2A'!B33:D33)</f>
        <v/>
      </c>
      <c r="C33" s="507"/>
      <c r="D33" s="507"/>
      <c r="F33" s="117">
        <f>'As-Filed Schedule 2A'!F33</f>
        <v>0</v>
      </c>
      <c r="G33" s="313">
        <f>SUMIFS(Adjustments!$G:$G,Adjustments!$H:$H,"2A",Adjustments!$I:$I,'Schedule 2A Adjustments'!$F$12,Adjustments!$J:$J,'Schedule 2A Adjustments'!A33)</f>
        <v>0</v>
      </c>
      <c r="H33" s="309">
        <f t="shared" si="1"/>
        <v>0</v>
      </c>
      <c r="I33" s="68">
        <f>IFERROR(F33*'As-Filed Schedule 1'!$E$103,0)</f>
        <v>0</v>
      </c>
      <c r="J33" s="310">
        <f>IFERROR(H33*'Adjusted Schedule 1'!$E$104,0)</f>
        <v>0</v>
      </c>
      <c r="K33" s="68">
        <f t="shared" si="7"/>
        <v>0</v>
      </c>
      <c r="L33" s="310">
        <f t="shared" si="2"/>
        <v>0</v>
      </c>
      <c r="N33" s="117">
        <f>'As-Filed Schedule 2A'!J33</f>
        <v>0</v>
      </c>
      <c r="O33" s="313">
        <f>SUMIFS(Adjustments!$G:$G,Adjustments!$H:$H,"2A",Adjustments!$I:$I,'Schedule 2A Adjustments'!$N$12,Adjustments!$J:$J,'Schedule 2A Adjustments'!A33)</f>
        <v>0</v>
      </c>
      <c r="P33" s="309">
        <f t="shared" si="3"/>
        <v>0</v>
      </c>
      <c r="Q33" s="68">
        <f>IFERROR(N33*'As-Filed Schedule 1'!$E$103,0)</f>
        <v>0</v>
      </c>
      <c r="R33" s="310">
        <f>IFERROR(P33*'Adjusted Schedule 1'!$E$104,0)</f>
        <v>0</v>
      </c>
      <c r="S33" s="68">
        <f t="shared" si="8"/>
        <v>0</v>
      </c>
      <c r="T33" s="310">
        <f t="shared" si="4"/>
        <v>0</v>
      </c>
      <c r="V33" s="120">
        <f>'As-Filed Schedule 2A'!N33</f>
        <v>0</v>
      </c>
      <c r="W33" s="313">
        <f>SUMIFS(Adjustments!$G:$G,Adjustments!$H:$H,"2A",Adjustments!$I:$I,'Schedule 2A Adjustments'!$V$12,Adjustments!$J:$J,'Schedule 2A Adjustments'!A33)</f>
        <v>0</v>
      </c>
      <c r="X33" s="326">
        <f t="shared" si="5"/>
        <v>0</v>
      </c>
      <c r="Y33" s="120">
        <f>'As-Filed Schedule 2A'!O33</f>
        <v>0</v>
      </c>
      <c r="Z33" s="313">
        <f>SUMIFS(Adjustments!$G:$G,Adjustments!$H:$H,"2A",Adjustments!$I:$I,'Schedule 2A Adjustments'!$Y$12,Adjustments!$J:$J,'Schedule 2A Adjustments'!A33)</f>
        <v>0</v>
      </c>
      <c r="AA33" s="326">
        <f t="shared" si="6"/>
        <v>0</v>
      </c>
    </row>
    <row r="34" spans="1:27" x14ac:dyDescent="0.35">
      <c r="A34" s="24">
        <v>20</v>
      </c>
      <c r="B34" s="507" t="str">
        <f>IF('As-Filed Schedule 2A'!B34:D34=0,"",'As-Filed Schedule 2A'!B34:D34)</f>
        <v/>
      </c>
      <c r="C34" s="507"/>
      <c r="D34" s="507"/>
      <c r="F34" s="117">
        <f>'As-Filed Schedule 2A'!F34</f>
        <v>0</v>
      </c>
      <c r="G34" s="313">
        <f>SUMIFS(Adjustments!$G:$G,Adjustments!$H:$H,"2A",Adjustments!$I:$I,'Schedule 2A Adjustments'!$F$12,Adjustments!$J:$J,'Schedule 2A Adjustments'!A34)</f>
        <v>0</v>
      </c>
      <c r="H34" s="309">
        <f t="shared" si="1"/>
        <v>0</v>
      </c>
      <c r="I34" s="68">
        <f>IFERROR(F34*'As-Filed Schedule 1'!$E$103,0)</f>
        <v>0</v>
      </c>
      <c r="J34" s="310">
        <f>IFERROR(H34*'Adjusted Schedule 1'!$E$104,0)</f>
        <v>0</v>
      </c>
      <c r="K34" s="68">
        <f t="shared" si="7"/>
        <v>0</v>
      </c>
      <c r="L34" s="310">
        <f t="shared" si="2"/>
        <v>0</v>
      </c>
      <c r="N34" s="117">
        <f>'As-Filed Schedule 2A'!J34</f>
        <v>0</v>
      </c>
      <c r="O34" s="313">
        <f>SUMIFS(Adjustments!$G:$G,Adjustments!$H:$H,"2A",Adjustments!$I:$I,'Schedule 2A Adjustments'!$N$12,Adjustments!$J:$J,'Schedule 2A Adjustments'!A34)</f>
        <v>0</v>
      </c>
      <c r="P34" s="309">
        <f t="shared" si="3"/>
        <v>0</v>
      </c>
      <c r="Q34" s="68">
        <f>IFERROR(N34*'As-Filed Schedule 1'!$E$103,0)</f>
        <v>0</v>
      </c>
      <c r="R34" s="310">
        <f>IFERROR(P34*'Adjusted Schedule 1'!$E$104,0)</f>
        <v>0</v>
      </c>
      <c r="S34" s="68">
        <f t="shared" si="8"/>
        <v>0</v>
      </c>
      <c r="T34" s="310">
        <f t="shared" si="4"/>
        <v>0</v>
      </c>
      <c r="V34" s="120">
        <f>'As-Filed Schedule 2A'!N34</f>
        <v>0</v>
      </c>
      <c r="W34" s="313">
        <f>SUMIFS(Adjustments!$G:$G,Adjustments!$H:$H,"2A",Adjustments!$I:$I,'Schedule 2A Adjustments'!$V$12,Adjustments!$J:$J,'Schedule 2A Adjustments'!A34)</f>
        <v>0</v>
      </c>
      <c r="X34" s="326">
        <f t="shared" si="5"/>
        <v>0</v>
      </c>
      <c r="Y34" s="120">
        <f>'As-Filed Schedule 2A'!O34</f>
        <v>0</v>
      </c>
      <c r="Z34" s="313">
        <f>SUMIFS(Adjustments!$G:$G,Adjustments!$H:$H,"2A",Adjustments!$I:$I,'Schedule 2A Adjustments'!$Y$12,Adjustments!$J:$J,'Schedule 2A Adjustments'!A34)</f>
        <v>0</v>
      </c>
      <c r="AA34" s="326">
        <f t="shared" si="6"/>
        <v>0</v>
      </c>
    </row>
    <row r="35" spans="1:27" x14ac:dyDescent="0.35">
      <c r="A35" s="24">
        <v>21</v>
      </c>
      <c r="B35" s="507" t="str">
        <f>IF('As-Filed Schedule 2A'!B35:D35=0,"",'As-Filed Schedule 2A'!B35:D35)</f>
        <v/>
      </c>
      <c r="C35" s="507"/>
      <c r="D35" s="507"/>
      <c r="F35" s="117">
        <f>'As-Filed Schedule 2A'!F35</f>
        <v>0</v>
      </c>
      <c r="G35" s="313">
        <f>SUMIFS(Adjustments!$G:$G,Adjustments!$H:$H,"2A",Adjustments!$I:$I,'Schedule 2A Adjustments'!$F$12,Adjustments!$J:$J,'Schedule 2A Adjustments'!A35)</f>
        <v>0</v>
      </c>
      <c r="H35" s="309">
        <f t="shared" si="1"/>
        <v>0</v>
      </c>
      <c r="I35" s="68">
        <f>IFERROR(F35*'As-Filed Schedule 1'!$E$103,0)</f>
        <v>0</v>
      </c>
      <c r="J35" s="310">
        <f>IFERROR(H35*'Adjusted Schedule 1'!$E$104,0)</f>
        <v>0</v>
      </c>
      <c r="K35" s="68">
        <f t="shared" si="7"/>
        <v>0</v>
      </c>
      <c r="L35" s="310">
        <f t="shared" si="2"/>
        <v>0</v>
      </c>
      <c r="N35" s="117">
        <f>'As-Filed Schedule 2A'!J35</f>
        <v>0</v>
      </c>
      <c r="O35" s="313">
        <f>SUMIFS(Adjustments!$G:$G,Adjustments!$H:$H,"2A",Adjustments!$I:$I,'Schedule 2A Adjustments'!$N$12,Adjustments!$J:$J,'Schedule 2A Adjustments'!A35)</f>
        <v>0</v>
      </c>
      <c r="P35" s="309">
        <f t="shared" si="3"/>
        <v>0</v>
      </c>
      <c r="Q35" s="68">
        <f>IFERROR(N35*'As-Filed Schedule 1'!$E$103,0)</f>
        <v>0</v>
      </c>
      <c r="R35" s="310">
        <f>IFERROR(P35*'Adjusted Schedule 1'!$E$104,0)</f>
        <v>0</v>
      </c>
      <c r="S35" s="68">
        <f t="shared" si="8"/>
        <v>0</v>
      </c>
      <c r="T35" s="310">
        <f t="shared" si="4"/>
        <v>0</v>
      </c>
      <c r="V35" s="120">
        <f>'As-Filed Schedule 2A'!N35</f>
        <v>0</v>
      </c>
      <c r="W35" s="313">
        <f>SUMIFS(Adjustments!$G:$G,Adjustments!$H:$H,"2A",Adjustments!$I:$I,'Schedule 2A Adjustments'!$V$12,Adjustments!$J:$J,'Schedule 2A Adjustments'!A35)</f>
        <v>0</v>
      </c>
      <c r="X35" s="326">
        <f t="shared" si="5"/>
        <v>0</v>
      </c>
      <c r="Y35" s="120">
        <f>'As-Filed Schedule 2A'!O35</f>
        <v>0</v>
      </c>
      <c r="Z35" s="313">
        <f>SUMIFS(Adjustments!$G:$G,Adjustments!$H:$H,"2A",Adjustments!$I:$I,'Schedule 2A Adjustments'!$Y$12,Adjustments!$J:$J,'Schedule 2A Adjustments'!A35)</f>
        <v>0</v>
      </c>
      <c r="AA35" s="326">
        <f t="shared" si="6"/>
        <v>0</v>
      </c>
    </row>
    <row r="36" spans="1:27" x14ac:dyDescent="0.35">
      <c r="A36" s="24">
        <v>22</v>
      </c>
      <c r="B36" s="507" t="str">
        <f>IF('As-Filed Schedule 2A'!B36:D36=0,"",'As-Filed Schedule 2A'!B36:D36)</f>
        <v/>
      </c>
      <c r="C36" s="507"/>
      <c r="D36" s="507"/>
      <c r="F36" s="117">
        <f>'As-Filed Schedule 2A'!F36</f>
        <v>0</v>
      </c>
      <c r="G36" s="313">
        <f>SUMIFS(Adjustments!$G:$G,Adjustments!$H:$H,"2A",Adjustments!$I:$I,'Schedule 2A Adjustments'!$F$12,Adjustments!$J:$J,'Schedule 2A Adjustments'!A36)</f>
        <v>0</v>
      </c>
      <c r="H36" s="309">
        <f t="shared" si="1"/>
        <v>0</v>
      </c>
      <c r="I36" s="68">
        <f>IFERROR(F36*'As-Filed Schedule 1'!$E$103,0)</f>
        <v>0</v>
      </c>
      <c r="J36" s="310">
        <f>IFERROR(H36*'Adjusted Schedule 1'!$E$104,0)</f>
        <v>0</v>
      </c>
      <c r="K36" s="68">
        <f t="shared" si="7"/>
        <v>0</v>
      </c>
      <c r="L36" s="310">
        <f t="shared" si="2"/>
        <v>0</v>
      </c>
      <c r="N36" s="117">
        <f>'As-Filed Schedule 2A'!J36</f>
        <v>0</v>
      </c>
      <c r="O36" s="313">
        <f>SUMIFS(Adjustments!$G:$G,Adjustments!$H:$H,"2A",Adjustments!$I:$I,'Schedule 2A Adjustments'!$N$12,Adjustments!$J:$J,'Schedule 2A Adjustments'!A36)</f>
        <v>0</v>
      </c>
      <c r="P36" s="309">
        <f t="shared" si="3"/>
        <v>0</v>
      </c>
      <c r="Q36" s="68">
        <f>IFERROR(N36*'As-Filed Schedule 1'!$E$103,0)</f>
        <v>0</v>
      </c>
      <c r="R36" s="310">
        <f>IFERROR(P36*'Adjusted Schedule 1'!$E$104,0)</f>
        <v>0</v>
      </c>
      <c r="S36" s="68">
        <f t="shared" si="8"/>
        <v>0</v>
      </c>
      <c r="T36" s="310">
        <f t="shared" si="4"/>
        <v>0</v>
      </c>
      <c r="V36" s="120">
        <f>'As-Filed Schedule 2A'!N36</f>
        <v>0</v>
      </c>
      <c r="W36" s="313">
        <f>SUMIFS(Adjustments!$G:$G,Adjustments!$H:$H,"2A",Adjustments!$I:$I,'Schedule 2A Adjustments'!$V$12,Adjustments!$J:$J,'Schedule 2A Adjustments'!A36)</f>
        <v>0</v>
      </c>
      <c r="X36" s="326">
        <f t="shared" si="5"/>
        <v>0</v>
      </c>
      <c r="Y36" s="120">
        <f>'As-Filed Schedule 2A'!O36</f>
        <v>0</v>
      </c>
      <c r="Z36" s="313">
        <f>SUMIFS(Adjustments!$G:$G,Adjustments!$H:$H,"2A",Adjustments!$I:$I,'Schedule 2A Adjustments'!$Y$12,Adjustments!$J:$J,'Schedule 2A Adjustments'!A36)</f>
        <v>0</v>
      </c>
      <c r="AA36" s="326">
        <f t="shared" si="6"/>
        <v>0</v>
      </c>
    </row>
    <row r="37" spans="1:27" x14ac:dyDescent="0.35">
      <c r="A37" s="24">
        <v>23</v>
      </c>
      <c r="B37" s="507" t="str">
        <f>IF('As-Filed Schedule 2A'!B37:D37=0,"",'As-Filed Schedule 2A'!B37:D37)</f>
        <v/>
      </c>
      <c r="C37" s="507"/>
      <c r="D37" s="507"/>
      <c r="F37" s="117">
        <f>'As-Filed Schedule 2A'!F37</f>
        <v>0</v>
      </c>
      <c r="G37" s="313">
        <f>SUMIFS(Adjustments!$G:$G,Adjustments!$H:$H,"2A",Adjustments!$I:$I,'Schedule 2A Adjustments'!$F$12,Adjustments!$J:$J,'Schedule 2A Adjustments'!A37)</f>
        <v>0</v>
      </c>
      <c r="H37" s="309">
        <f t="shared" si="1"/>
        <v>0</v>
      </c>
      <c r="I37" s="68">
        <f>IFERROR(F37*'As-Filed Schedule 1'!$E$103,0)</f>
        <v>0</v>
      </c>
      <c r="J37" s="310">
        <f>IFERROR(H37*'Adjusted Schedule 1'!$E$104,0)</f>
        <v>0</v>
      </c>
      <c r="K37" s="68">
        <f t="shared" si="7"/>
        <v>0</v>
      </c>
      <c r="L37" s="310">
        <f t="shared" si="2"/>
        <v>0</v>
      </c>
      <c r="N37" s="117">
        <f>'As-Filed Schedule 2A'!J37</f>
        <v>0</v>
      </c>
      <c r="O37" s="313">
        <f>SUMIFS(Adjustments!$G:$G,Adjustments!$H:$H,"2A",Adjustments!$I:$I,'Schedule 2A Adjustments'!$N$12,Adjustments!$J:$J,'Schedule 2A Adjustments'!A37)</f>
        <v>0</v>
      </c>
      <c r="P37" s="309">
        <f t="shared" si="3"/>
        <v>0</v>
      </c>
      <c r="Q37" s="68">
        <f>IFERROR(N37*'As-Filed Schedule 1'!$E$103,0)</f>
        <v>0</v>
      </c>
      <c r="R37" s="310">
        <f>IFERROR(P37*'Adjusted Schedule 1'!$E$104,0)</f>
        <v>0</v>
      </c>
      <c r="S37" s="68">
        <f t="shared" si="8"/>
        <v>0</v>
      </c>
      <c r="T37" s="310">
        <f t="shared" si="4"/>
        <v>0</v>
      </c>
      <c r="V37" s="120">
        <f>'As-Filed Schedule 2A'!N37</f>
        <v>0</v>
      </c>
      <c r="W37" s="313">
        <f>SUMIFS(Adjustments!$G:$G,Adjustments!$H:$H,"2A",Adjustments!$I:$I,'Schedule 2A Adjustments'!$V$12,Adjustments!$J:$J,'Schedule 2A Adjustments'!A37)</f>
        <v>0</v>
      </c>
      <c r="X37" s="326">
        <f t="shared" si="5"/>
        <v>0</v>
      </c>
      <c r="Y37" s="120">
        <f>'As-Filed Schedule 2A'!O37</f>
        <v>0</v>
      </c>
      <c r="Z37" s="313">
        <f>SUMIFS(Adjustments!$G:$G,Adjustments!$H:$H,"2A",Adjustments!$I:$I,'Schedule 2A Adjustments'!$Y$12,Adjustments!$J:$J,'Schedule 2A Adjustments'!A37)</f>
        <v>0</v>
      </c>
      <c r="AA37" s="326">
        <f t="shared" si="6"/>
        <v>0</v>
      </c>
    </row>
    <row r="38" spans="1:27" x14ac:dyDescent="0.35">
      <c r="A38" s="24">
        <v>24</v>
      </c>
      <c r="B38" s="507" t="str">
        <f>IF('As-Filed Schedule 2A'!B38:D38=0,"",'As-Filed Schedule 2A'!B38:D38)</f>
        <v/>
      </c>
      <c r="C38" s="507"/>
      <c r="D38" s="507"/>
      <c r="F38" s="117">
        <f>'As-Filed Schedule 2A'!F38</f>
        <v>0</v>
      </c>
      <c r="G38" s="313">
        <f>SUMIFS(Adjustments!$G:$G,Adjustments!$H:$H,"2A",Adjustments!$I:$I,'Schedule 2A Adjustments'!$F$12,Adjustments!$J:$J,'Schedule 2A Adjustments'!A38)</f>
        <v>0</v>
      </c>
      <c r="H38" s="309">
        <f t="shared" si="1"/>
        <v>0</v>
      </c>
      <c r="I38" s="68">
        <f>IFERROR(F38*'As-Filed Schedule 1'!$E$103,0)</f>
        <v>0</v>
      </c>
      <c r="J38" s="310">
        <f>IFERROR(H38*'Adjusted Schedule 1'!$E$104,0)</f>
        <v>0</v>
      </c>
      <c r="K38" s="68">
        <f t="shared" si="7"/>
        <v>0</v>
      </c>
      <c r="L38" s="310">
        <f t="shared" si="2"/>
        <v>0</v>
      </c>
      <c r="N38" s="117">
        <f>'As-Filed Schedule 2A'!J38</f>
        <v>0</v>
      </c>
      <c r="O38" s="313">
        <f>SUMIFS(Adjustments!$G:$G,Adjustments!$H:$H,"2A",Adjustments!$I:$I,'Schedule 2A Adjustments'!$N$12,Adjustments!$J:$J,'Schedule 2A Adjustments'!A38)</f>
        <v>0</v>
      </c>
      <c r="P38" s="309">
        <f t="shared" si="3"/>
        <v>0</v>
      </c>
      <c r="Q38" s="68">
        <f>IFERROR(N38*'As-Filed Schedule 1'!$E$103,0)</f>
        <v>0</v>
      </c>
      <c r="R38" s="310">
        <f>IFERROR(P38*'Adjusted Schedule 1'!$E$104,0)</f>
        <v>0</v>
      </c>
      <c r="S38" s="68">
        <f t="shared" si="8"/>
        <v>0</v>
      </c>
      <c r="T38" s="310">
        <f t="shared" si="4"/>
        <v>0</v>
      </c>
      <c r="V38" s="120">
        <f>'As-Filed Schedule 2A'!N38</f>
        <v>0</v>
      </c>
      <c r="W38" s="313">
        <f>SUMIFS(Adjustments!$G:$G,Adjustments!$H:$H,"2A",Adjustments!$I:$I,'Schedule 2A Adjustments'!$V$12,Adjustments!$J:$J,'Schedule 2A Adjustments'!A38)</f>
        <v>0</v>
      </c>
      <c r="X38" s="326">
        <f t="shared" si="5"/>
        <v>0</v>
      </c>
      <c r="Y38" s="120">
        <f>'As-Filed Schedule 2A'!O38</f>
        <v>0</v>
      </c>
      <c r="Z38" s="313">
        <f>SUMIFS(Adjustments!$G:$G,Adjustments!$H:$H,"2A",Adjustments!$I:$I,'Schedule 2A Adjustments'!$Y$12,Adjustments!$J:$J,'Schedule 2A Adjustments'!A38)</f>
        <v>0</v>
      </c>
      <c r="AA38" s="326">
        <f t="shared" si="6"/>
        <v>0</v>
      </c>
    </row>
    <row r="39" spans="1:27" x14ac:dyDescent="0.35">
      <c r="A39" s="24">
        <v>25</v>
      </c>
      <c r="B39" s="507" t="str">
        <f>IF('As-Filed Schedule 2A'!B39:D39=0,"",'As-Filed Schedule 2A'!B39:D39)</f>
        <v/>
      </c>
      <c r="C39" s="507"/>
      <c r="D39" s="507"/>
      <c r="F39" s="117">
        <f>'As-Filed Schedule 2A'!F39</f>
        <v>0</v>
      </c>
      <c r="G39" s="313">
        <f>SUMIFS(Adjustments!$G:$G,Adjustments!$H:$H,"2A",Adjustments!$I:$I,'Schedule 2A Adjustments'!$F$12,Adjustments!$J:$J,'Schedule 2A Adjustments'!A39)</f>
        <v>0</v>
      </c>
      <c r="H39" s="309">
        <f t="shared" si="1"/>
        <v>0</v>
      </c>
      <c r="I39" s="68">
        <f>IFERROR(F39*'As-Filed Schedule 1'!$E$103,0)</f>
        <v>0</v>
      </c>
      <c r="J39" s="310">
        <f>IFERROR(H39*'Adjusted Schedule 1'!$E$104,0)</f>
        <v>0</v>
      </c>
      <c r="K39" s="68">
        <f t="shared" si="7"/>
        <v>0</v>
      </c>
      <c r="L39" s="310">
        <f t="shared" si="2"/>
        <v>0</v>
      </c>
      <c r="N39" s="117">
        <f>'As-Filed Schedule 2A'!J39</f>
        <v>0</v>
      </c>
      <c r="O39" s="313">
        <f>SUMIFS(Adjustments!$G:$G,Adjustments!$H:$H,"2A",Adjustments!$I:$I,'Schedule 2A Adjustments'!$N$12,Adjustments!$J:$J,'Schedule 2A Adjustments'!A39)</f>
        <v>0</v>
      </c>
      <c r="P39" s="309">
        <f t="shared" si="3"/>
        <v>0</v>
      </c>
      <c r="Q39" s="68">
        <f>IFERROR(N39*'As-Filed Schedule 1'!$E$103,0)</f>
        <v>0</v>
      </c>
      <c r="R39" s="310">
        <f>IFERROR(P39*'Adjusted Schedule 1'!$E$104,0)</f>
        <v>0</v>
      </c>
      <c r="S39" s="68">
        <f t="shared" si="8"/>
        <v>0</v>
      </c>
      <c r="T39" s="310">
        <f t="shared" si="4"/>
        <v>0</v>
      </c>
      <c r="V39" s="120">
        <f>'As-Filed Schedule 2A'!N39</f>
        <v>0</v>
      </c>
      <c r="W39" s="313">
        <f>SUMIFS(Adjustments!$G:$G,Adjustments!$H:$H,"2A",Adjustments!$I:$I,'Schedule 2A Adjustments'!$V$12,Adjustments!$J:$J,'Schedule 2A Adjustments'!A39)</f>
        <v>0</v>
      </c>
      <c r="X39" s="326">
        <f t="shared" si="5"/>
        <v>0</v>
      </c>
      <c r="Y39" s="120">
        <f>'As-Filed Schedule 2A'!O39</f>
        <v>0</v>
      </c>
      <c r="Z39" s="313">
        <f>SUMIFS(Adjustments!$G:$G,Adjustments!$H:$H,"2A",Adjustments!$I:$I,'Schedule 2A Adjustments'!$Y$12,Adjustments!$J:$J,'Schedule 2A Adjustments'!A39)</f>
        <v>0</v>
      </c>
      <c r="AA39" s="326">
        <f t="shared" si="6"/>
        <v>0</v>
      </c>
    </row>
    <row r="40" spans="1:27" x14ac:dyDescent="0.35">
      <c r="A40" s="24">
        <v>26</v>
      </c>
      <c r="B40" s="507" t="str">
        <f>IF('As-Filed Schedule 2A'!B40:D40=0,"",'As-Filed Schedule 2A'!B40:D40)</f>
        <v/>
      </c>
      <c r="C40" s="507"/>
      <c r="D40" s="507"/>
      <c r="F40" s="117">
        <f>'As-Filed Schedule 2A'!F40</f>
        <v>0</v>
      </c>
      <c r="G40" s="313">
        <f>SUMIFS(Adjustments!$G:$G,Adjustments!$H:$H,"2A",Adjustments!$I:$I,'Schedule 2A Adjustments'!$F$12,Adjustments!$J:$J,'Schedule 2A Adjustments'!A40)</f>
        <v>0</v>
      </c>
      <c r="H40" s="309">
        <f t="shared" si="1"/>
        <v>0</v>
      </c>
      <c r="I40" s="68">
        <f>IFERROR(F40*'As-Filed Schedule 1'!$E$103,0)</f>
        <v>0</v>
      </c>
      <c r="J40" s="310">
        <f>IFERROR(H40*'Adjusted Schedule 1'!$E$104,0)</f>
        <v>0</v>
      </c>
      <c r="K40" s="68">
        <f t="shared" si="7"/>
        <v>0</v>
      </c>
      <c r="L40" s="310">
        <f t="shared" si="2"/>
        <v>0</v>
      </c>
      <c r="N40" s="117">
        <f>'As-Filed Schedule 2A'!J40</f>
        <v>0</v>
      </c>
      <c r="O40" s="313">
        <f>SUMIFS(Adjustments!$G:$G,Adjustments!$H:$H,"2A",Adjustments!$I:$I,'Schedule 2A Adjustments'!$N$12,Adjustments!$J:$J,'Schedule 2A Adjustments'!A40)</f>
        <v>0</v>
      </c>
      <c r="P40" s="309">
        <f t="shared" si="3"/>
        <v>0</v>
      </c>
      <c r="Q40" s="68">
        <f>IFERROR(N40*'As-Filed Schedule 1'!$E$103,0)</f>
        <v>0</v>
      </c>
      <c r="R40" s="310">
        <f>IFERROR(P40*'Adjusted Schedule 1'!$E$104,0)</f>
        <v>0</v>
      </c>
      <c r="S40" s="68">
        <f t="shared" si="8"/>
        <v>0</v>
      </c>
      <c r="T40" s="310">
        <f t="shared" si="4"/>
        <v>0</v>
      </c>
      <c r="V40" s="120">
        <f>'As-Filed Schedule 2A'!N40</f>
        <v>0</v>
      </c>
      <c r="W40" s="313">
        <f>SUMIFS(Adjustments!$G:$G,Adjustments!$H:$H,"2A",Adjustments!$I:$I,'Schedule 2A Adjustments'!$V$12,Adjustments!$J:$J,'Schedule 2A Adjustments'!A40)</f>
        <v>0</v>
      </c>
      <c r="X40" s="326">
        <f t="shared" si="5"/>
        <v>0</v>
      </c>
      <c r="Y40" s="120">
        <f>'As-Filed Schedule 2A'!O40</f>
        <v>0</v>
      </c>
      <c r="Z40" s="313">
        <f>SUMIFS(Adjustments!$G:$G,Adjustments!$H:$H,"2A",Adjustments!$I:$I,'Schedule 2A Adjustments'!$Y$12,Adjustments!$J:$J,'Schedule 2A Adjustments'!A40)</f>
        <v>0</v>
      </c>
      <c r="AA40" s="326">
        <f t="shared" si="6"/>
        <v>0</v>
      </c>
    </row>
    <row r="41" spans="1:27" x14ac:dyDescent="0.35">
      <c r="A41" s="24">
        <v>27</v>
      </c>
      <c r="B41" s="507" t="str">
        <f>IF('As-Filed Schedule 2A'!B41:D41=0,"",'As-Filed Schedule 2A'!B41:D41)</f>
        <v/>
      </c>
      <c r="C41" s="507"/>
      <c r="D41" s="507"/>
      <c r="F41" s="117">
        <f>'As-Filed Schedule 2A'!F41</f>
        <v>0</v>
      </c>
      <c r="G41" s="313">
        <f>SUMIFS(Adjustments!$G:$G,Adjustments!$H:$H,"2A",Adjustments!$I:$I,'Schedule 2A Adjustments'!$F$12,Adjustments!$J:$J,'Schedule 2A Adjustments'!A41)</f>
        <v>0</v>
      </c>
      <c r="H41" s="309">
        <f t="shared" si="1"/>
        <v>0</v>
      </c>
      <c r="I41" s="68">
        <f>IFERROR(F41*'As-Filed Schedule 1'!$E$103,0)</f>
        <v>0</v>
      </c>
      <c r="J41" s="310">
        <f>IFERROR(H41*'Adjusted Schedule 1'!$E$104,0)</f>
        <v>0</v>
      </c>
      <c r="K41" s="68">
        <f t="shared" si="7"/>
        <v>0</v>
      </c>
      <c r="L41" s="310">
        <f t="shared" si="2"/>
        <v>0</v>
      </c>
      <c r="N41" s="117">
        <f>'As-Filed Schedule 2A'!J41</f>
        <v>0</v>
      </c>
      <c r="O41" s="313">
        <f>SUMIFS(Adjustments!$G:$G,Adjustments!$H:$H,"2A",Adjustments!$I:$I,'Schedule 2A Adjustments'!$N$12,Adjustments!$J:$J,'Schedule 2A Adjustments'!A41)</f>
        <v>0</v>
      </c>
      <c r="P41" s="309">
        <f t="shared" si="3"/>
        <v>0</v>
      </c>
      <c r="Q41" s="68">
        <f>IFERROR(N41*'As-Filed Schedule 1'!$E$103,0)</f>
        <v>0</v>
      </c>
      <c r="R41" s="310">
        <f>IFERROR(P41*'Adjusted Schedule 1'!$E$104,0)</f>
        <v>0</v>
      </c>
      <c r="S41" s="68">
        <f t="shared" si="8"/>
        <v>0</v>
      </c>
      <c r="T41" s="310">
        <f t="shared" si="4"/>
        <v>0</v>
      </c>
      <c r="V41" s="120">
        <f>'As-Filed Schedule 2A'!N41</f>
        <v>0</v>
      </c>
      <c r="W41" s="313">
        <f>SUMIFS(Adjustments!$G:$G,Adjustments!$H:$H,"2A",Adjustments!$I:$I,'Schedule 2A Adjustments'!$V$12,Adjustments!$J:$J,'Schedule 2A Adjustments'!A41)</f>
        <v>0</v>
      </c>
      <c r="X41" s="326">
        <f t="shared" si="5"/>
        <v>0</v>
      </c>
      <c r="Y41" s="120">
        <f>'As-Filed Schedule 2A'!O41</f>
        <v>0</v>
      </c>
      <c r="Z41" s="313">
        <f>SUMIFS(Adjustments!$G:$G,Adjustments!$H:$H,"2A",Adjustments!$I:$I,'Schedule 2A Adjustments'!$Y$12,Adjustments!$J:$J,'Schedule 2A Adjustments'!A41)</f>
        <v>0</v>
      </c>
      <c r="AA41" s="326">
        <f t="shared" si="6"/>
        <v>0</v>
      </c>
    </row>
    <row r="42" spans="1:27" x14ac:dyDescent="0.35">
      <c r="A42" s="24">
        <v>28</v>
      </c>
      <c r="B42" s="507" t="str">
        <f>IF('As-Filed Schedule 2A'!B42:D42=0,"",'As-Filed Schedule 2A'!B42:D42)</f>
        <v/>
      </c>
      <c r="C42" s="507"/>
      <c r="D42" s="507"/>
      <c r="F42" s="117">
        <f>'As-Filed Schedule 2A'!F42</f>
        <v>0</v>
      </c>
      <c r="G42" s="313">
        <f>SUMIFS(Adjustments!$G:$G,Adjustments!$H:$H,"2A",Adjustments!$I:$I,'Schedule 2A Adjustments'!$F$12,Adjustments!$J:$J,'Schedule 2A Adjustments'!A42)</f>
        <v>0</v>
      </c>
      <c r="H42" s="309">
        <f t="shared" si="1"/>
        <v>0</v>
      </c>
      <c r="I42" s="68">
        <f>IFERROR(F42*'As-Filed Schedule 1'!$E$103,0)</f>
        <v>0</v>
      </c>
      <c r="J42" s="310">
        <f>IFERROR(H42*'Adjusted Schedule 1'!$E$104,0)</f>
        <v>0</v>
      </c>
      <c r="K42" s="68">
        <f t="shared" si="7"/>
        <v>0</v>
      </c>
      <c r="L42" s="310">
        <f t="shared" si="2"/>
        <v>0</v>
      </c>
      <c r="N42" s="117">
        <f>'As-Filed Schedule 2A'!J42</f>
        <v>0</v>
      </c>
      <c r="O42" s="313">
        <f>SUMIFS(Adjustments!$G:$G,Adjustments!$H:$H,"2A",Adjustments!$I:$I,'Schedule 2A Adjustments'!$N$12,Adjustments!$J:$J,'Schedule 2A Adjustments'!A42)</f>
        <v>0</v>
      </c>
      <c r="P42" s="309">
        <f t="shared" si="3"/>
        <v>0</v>
      </c>
      <c r="Q42" s="68">
        <f>IFERROR(N42*'As-Filed Schedule 1'!$E$103,0)</f>
        <v>0</v>
      </c>
      <c r="R42" s="310">
        <f>IFERROR(P42*'Adjusted Schedule 1'!$E$104,0)</f>
        <v>0</v>
      </c>
      <c r="S42" s="68">
        <f t="shared" si="8"/>
        <v>0</v>
      </c>
      <c r="T42" s="310">
        <f t="shared" si="4"/>
        <v>0</v>
      </c>
      <c r="V42" s="120">
        <f>'As-Filed Schedule 2A'!N42</f>
        <v>0</v>
      </c>
      <c r="W42" s="313">
        <f>SUMIFS(Adjustments!$G:$G,Adjustments!$H:$H,"2A",Adjustments!$I:$I,'Schedule 2A Adjustments'!$V$12,Adjustments!$J:$J,'Schedule 2A Adjustments'!A42)</f>
        <v>0</v>
      </c>
      <c r="X42" s="326">
        <f t="shared" si="5"/>
        <v>0</v>
      </c>
      <c r="Y42" s="120">
        <f>'As-Filed Schedule 2A'!O42</f>
        <v>0</v>
      </c>
      <c r="Z42" s="313">
        <f>SUMIFS(Adjustments!$G:$G,Adjustments!$H:$H,"2A",Adjustments!$I:$I,'Schedule 2A Adjustments'!$Y$12,Adjustments!$J:$J,'Schedule 2A Adjustments'!A42)</f>
        <v>0</v>
      </c>
      <c r="AA42" s="326">
        <f t="shared" si="6"/>
        <v>0</v>
      </c>
    </row>
    <row r="43" spans="1:27" x14ac:dyDescent="0.35">
      <c r="A43" s="24">
        <v>29</v>
      </c>
      <c r="B43" s="507" t="str">
        <f>IF('As-Filed Schedule 2A'!B43:D43=0,"",'As-Filed Schedule 2A'!B43:D43)</f>
        <v/>
      </c>
      <c r="C43" s="507"/>
      <c r="D43" s="507"/>
      <c r="F43" s="117">
        <f>'As-Filed Schedule 2A'!F43</f>
        <v>0</v>
      </c>
      <c r="G43" s="313">
        <f>SUMIFS(Adjustments!$G:$G,Adjustments!$H:$H,"2A",Adjustments!$I:$I,'Schedule 2A Adjustments'!$F$12,Adjustments!$J:$J,'Schedule 2A Adjustments'!A43)</f>
        <v>0</v>
      </c>
      <c r="H43" s="309">
        <f t="shared" si="1"/>
        <v>0</v>
      </c>
      <c r="I43" s="68">
        <f>IFERROR(F43*'As-Filed Schedule 1'!$E$103,0)</f>
        <v>0</v>
      </c>
      <c r="J43" s="310">
        <f>IFERROR(H43*'Adjusted Schedule 1'!$E$104,0)</f>
        <v>0</v>
      </c>
      <c r="K43" s="68">
        <f t="shared" si="7"/>
        <v>0</v>
      </c>
      <c r="L43" s="310">
        <f t="shared" si="2"/>
        <v>0</v>
      </c>
      <c r="N43" s="117">
        <f>'As-Filed Schedule 2A'!J43</f>
        <v>0</v>
      </c>
      <c r="O43" s="313">
        <f>SUMIFS(Adjustments!$G:$G,Adjustments!$H:$H,"2A",Adjustments!$I:$I,'Schedule 2A Adjustments'!$N$12,Adjustments!$J:$J,'Schedule 2A Adjustments'!A43)</f>
        <v>0</v>
      </c>
      <c r="P43" s="309">
        <f t="shared" si="3"/>
        <v>0</v>
      </c>
      <c r="Q43" s="68">
        <f>IFERROR(N43*'As-Filed Schedule 1'!$E$103,0)</f>
        <v>0</v>
      </c>
      <c r="R43" s="310">
        <f>IFERROR(P43*'Adjusted Schedule 1'!$E$104,0)</f>
        <v>0</v>
      </c>
      <c r="S43" s="68">
        <f t="shared" si="8"/>
        <v>0</v>
      </c>
      <c r="T43" s="310">
        <f t="shared" si="4"/>
        <v>0</v>
      </c>
      <c r="V43" s="120">
        <f>'As-Filed Schedule 2A'!N43</f>
        <v>0</v>
      </c>
      <c r="W43" s="313">
        <f>SUMIFS(Adjustments!$G:$G,Adjustments!$H:$H,"2A",Adjustments!$I:$I,'Schedule 2A Adjustments'!$V$12,Adjustments!$J:$J,'Schedule 2A Adjustments'!A43)</f>
        <v>0</v>
      </c>
      <c r="X43" s="326">
        <f t="shared" si="5"/>
        <v>0</v>
      </c>
      <c r="Y43" s="120">
        <f>'As-Filed Schedule 2A'!O43</f>
        <v>0</v>
      </c>
      <c r="Z43" s="313">
        <f>SUMIFS(Adjustments!$G:$G,Adjustments!$H:$H,"2A",Adjustments!$I:$I,'Schedule 2A Adjustments'!$Y$12,Adjustments!$J:$J,'Schedule 2A Adjustments'!A43)</f>
        <v>0</v>
      </c>
      <c r="AA43" s="326">
        <f t="shared" si="6"/>
        <v>0</v>
      </c>
    </row>
    <row r="44" spans="1:27" x14ac:dyDescent="0.35">
      <c r="A44" s="24">
        <v>30</v>
      </c>
      <c r="B44" s="507" t="str">
        <f>IF('As-Filed Schedule 2A'!B44:D44=0,"",'As-Filed Schedule 2A'!B44:D44)</f>
        <v/>
      </c>
      <c r="C44" s="507"/>
      <c r="D44" s="507"/>
      <c r="F44" s="117">
        <f>'As-Filed Schedule 2A'!F44</f>
        <v>0</v>
      </c>
      <c r="G44" s="313">
        <f>SUMIFS(Adjustments!$G:$G,Adjustments!$H:$H,"2A",Adjustments!$I:$I,'Schedule 2A Adjustments'!$F$12,Adjustments!$J:$J,'Schedule 2A Adjustments'!A44)</f>
        <v>0</v>
      </c>
      <c r="H44" s="309">
        <f t="shared" si="1"/>
        <v>0</v>
      </c>
      <c r="I44" s="68">
        <f>IFERROR(F44*'As-Filed Schedule 1'!$E$103,0)</f>
        <v>0</v>
      </c>
      <c r="J44" s="310">
        <f>IFERROR(H44*'Adjusted Schedule 1'!$E$104,0)</f>
        <v>0</v>
      </c>
      <c r="K44" s="68">
        <f t="shared" si="7"/>
        <v>0</v>
      </c>
      <c r="L44" s="310">
        <f t="shared" si="2"/>
        <v>0</v>
      </c>
      <c r="N44" s="117">
        <f>'As-Filed Schedule 2A'!J44</f>
        <v>0</v>
      </c>
      <c r="O44" s="313">
        <f>SUMIFS(Adjustments!$G:$G,Adjustments!$H:$H,"2A",Adjustments!$I:$I,'Schedule 2A Adjustments'!$N$12,Adjustments!$J:$J,'Schedule 2A Adjustments'!A44)</f>
        <v>0</v>
      </c>
      <c r="P44" s="309">
        <f t="shared" si="3"/>
        <v>0</v>
      </c>
      <c r="Q44" s="68">
        <f>IFERROR(N44*'As-Filed Schedule 1'!$E$103,0)</f>
        <v>0</v>
      </c>
      <c r="R44" s="310">
        <f>IFERROR(P44*'Adjusted Schedule 1'!$E$104,0)</f>
        <v>0</v>
      </c>
      <c r="S44" s="68">
        <f t="shared" si="8"/>
        <v>0</v>
      </c>
      <c r="T44" s="310">
        <f t="shared" si="4"/>
        <v>0</v>
      </c>
      <c r="V44" s="120">
        <f>'As-Filed Schedule 2A'!N44</f>
        <v>0</v>
      </c>
      <c r="W44" s="313">
        <f>SUMIFS(Adjustments!$G:$G,Adjustments!$H:$H,"2A",Adjustments!$I:$I,'Schedule 2A Adjustments'!$V$12,Adjustments!$J:$J,'Schedule 2A Adjustments'!A44)</f>
        <v>0</v>
      </c>
      <c r="X44" s="326">
        <f t="shared" si="5"/>
        <v>0</v>
      </c>
      <c r="Y44" s="120">
        <f>'As-Filed Schedule 2A'!O44</f>
        <v>0</v>
      </c>
      <c r="Z44" s="313">
        <f>SUMIFS(Adjustments!$G:$G,Adjustments!$H:$H,"2A",Adjustments!$I:$I,'Schedule 2A Adjustments'!$Y$12,Adjustments!$J:$J,'Schedule 2A Adjustments'!A44)</f>
        <v>0</v>
      </c>
      <c r="AA44" s="326">
        <f t="shared" si="6"/>
        <v>0</v>
      </c>
    </row>
    <row r="45" spans="1:27" x14ac:dyDescent="0.35">
      <c r="A45" s="24">
        <v>31</v>
      </c>
      <c r="B45" s="507" t="str">
        <f>IF('As-Filed Schedule 2A'!B45:D45=0,"",'As-Filed Schedule 2A'!B45:D45)</f>
        <v/>
      </c>
      <c r="C45" s="507"/>
      <c r="D45" s="507"/>
      <c r="F45" s="117">
        <f>'As-Filed Schedule 2A'!F45</f>
        <v>0</v>
      </c>
      <c r="G45" s="313">
        <f>SUMIFS(Adjustments!$G:$G,Adjustments!$H:$H,"2A",Adjustments!$I:$I,'Schedule 2A Adjustments'!$F$12,Adjustments!$J:$J,'Schedule 2A Adjustments'!A45)</f>
        <v>0</v>
      </c>
      <c r="H45" s="309">
        <f t="shared" si="1"/>
        <v>0</v>
      </c>
      <c r="I45" s="68">
        <f>IFERROR(F45*'As-Filed Schedule 1'!$E$103,0)</f>
        <v>0</v>
      </c>
      <c r="J45" s="310">
        <f>IFERROR(H45*'Adjusted Schedule 1'!$E$104,0)</f>
        <v>0</v>
      </c>
      <c r="K45" s="68">
        <f t="shared" si="7"/>
        <v>0</v>
      </c>
      <c r="L45" s="310">
        <f t="shared" si="2"/>
        <v>0</v>
      </c>
      <c r="N45" s="117">
        <f>'As-Filed Schedule 2A'!J45</f>
        <v>0</v>
      </c>
      <c r="O45" s="313">
        <f>SUMIFS(Adjustments!$G:$G,Adjustments!$H:$H,"2A",Adjustments!$I:$I,'Schedule 2A Adjustments'!$N$12,Adjustments!$J:$J,'Schedule 2A Adjustments'!A45)</f>
        <v>0</v>
      </c>
      <c r="P45" s="309">
        <f t="shared" si="3"/>
        <v>0</v>
      </c>
      <c r="Q45" s="68">
        <f>IFERROR(N45*'As-Filed Schedule 1'!$E$103,0)</f>
        <v>0</v>
      </c>
      <c r="R45" s="310">
        <f>IFERROR(P45*'Adjusted Schedule 1'!$E$104,0)</f>
        <v>0</v>
      </c>
      <c r="S45" s="68">
        <f t="shared" si="8"/>
        <v>0</v>
      </c>
      <c r="T45" s="310">
        <f t="shared" si="4"/>
        <v>0</v>
      </c>
      <c r="V45" s="120">
        <f>'As-Filed Schedule 2A'!N45</f>
        <v>0</v>
      </c>
      <c r="W45" s="313">
        <f>SUMIFS(Adjustments!$G:$G,Adjustments!$H:$H,"2A",Adjustments!$I:$I,'Schedule 2A Adjustments'!$V$12,Adjustments!$J:$J,'Schedule 2A Adjustments'!A45)</f>
        <v>0</v>
      </c>
      <c r="X45" s="326">
        <f t="shared" si="5"/>
        <v>0</v>
      </c>
      <c r="Y45" s="120">
        <f>'As-Filed Schedule 2A'!O45</f>
        <v>0</v>
      </c>
      <c r="Z45" s="313">
        <f>SUMIFS(Adjustments!$G:$G,Adjustments!$H:$H,"2A",Adjustments!$I:$I,'Schedule 2A Adjustments'!$Y$12,Adjustments!$J:$J,'Schedule 2A Adjustments'!A45)</f>
        <v>0</v>
      </c>
      <c r="AA45" s="326">
        <f t="shared" si="6"/>
        <v>0</v>
      </c>
    </row>
    <row r="46" spans="1:27" x14ac:dyDescent="0.35">
      <c r="A46" s="24">
        <v>32</v>
      </c>
      <c r="B46" s="507" t="str">
        <f>IF('As-Filed Schedule 2A'!B46:D46=0,"",'As-Filed Schedule 2A'!B46:D46)</f>
        <v/>
      </c>
      <c r="C46" s="507"/>
      <c r="D46" s="507"/>
      <c r="F46" s="117">
        <f>'As-Filed Schedule 2A'!F46</f>
        <v>0</v>
      </c>
      <c r="G46" s="313">
        <f>SUMIFS(Adjustments!$G:$G,Adjustments!$H:$H,"2A",Adjustments!$I:$I,'Schedule 2A Adjustments'!$F$12,Adjustments!$J:$J,'Schedule 2A Adjustments'!A46)</f>
        <v>0</v>
      </c>
      <c r="H46" s="309">
        <f t="shared" si="1"/>
        <v>0</v>
      </c>
      <c r="I46" s="68">
        <f>IFERROR(F46*'As-Filed Schedule 1'!$E$103,0)</f>
        <v>0</v>
      </c>
      <c r="J46" s="310">
        <f>IFERROR(H46*'Adjusted Schedule 1'!$E$104,0)</f>
        <v>0</v>
      </c>
      <c r="K46" s="68">
        <f t="shared" si="7"/>
        <v>0</v>
      </c>
      <c r="L46" s="310">
        <f t="shared" si="2"/>
        <v>0</v>
      </c>
      <c r="N46" s="117">
        <f>'As-Filed Schedule 2A'!J46</f>
        <v>0</v>
      </c>
      <c r="O46" s="313">
        <f>SUMIFS(Adjustments!$G:$G,Adjustments!$H:$H,"2A",Adjustments!$I:$I,'Schedule 2A Adjustments'!$N$12,Adjustments!$J:$J,'Schedule 2A Adjustments'!A46)</f>
        <v>0</v>
      </c>
      <c r="P46" s="309">
        <f t="shared" si="3"/>
        <v>0</v>
      </c>
      <c r="Q46" s="68">
        <f>IFERROR(N46*'As-Filed Schedule 1'!$E$103,0)</f>
        <v>0</v>
      </c>
      <c r="R46" s="310">
        <f>IFERROR(P46*'Adjusted Schedule 1'!$E$104,0)</f>
        <v>0</v>
      </c>
      <c r="S46" s="68">
        <f t="shared" si="8"/>
        <v>0</v>
      </c>
      <c r="T46" s="310">
        <f t="shared" si="4"/>
        <v>0</v>
      </c>
      <c r="V46" s="120">
        <f>'As-Filed Schedule 2A'!N46</f>
        <v>0</v>
      </c>
      <c r="W46" s="313">
        <f>SUMIFS(Adjustments!$G:$G,Adjustments!$H:$H,"2A",Adjustments!$I:$I,'Schedule 2A Adjustments'!$V$12,Adjustments!$J:$J,'Schedule 2A Adjustments'!A46)</f>
        <v>0</v>
      </c>
      <c r="X46" s="326">
        <f t="shared" si="5"/>
        <v>0</v>
      </c>
      <c r="Y46" s="120">
        <f>'As-Filed Schedule 2A'!O46</f>
        <v>0</v>
      </c>
      <c r="Z46" s="313">
        <f>SUMIFS(Adjustments!$G:$G,Adjustments!$H:$H,"2A",Adjustments!$I:$I,'Schedule 2A Adjustments'!$Y$12,Adjustments!$J:$J,'Schedule 2A Adjustments'!A46)</f>
        <v>0</v>
      </c>
      <c r="AA46" s="326">
        <f t="shared" si="6"/>
        <v>0</v>
      </c>
    </row>
    <row r="47" spans="1:27" x14ac:dyDescent="0.35">
      <c r="A47" s="24">
        <v>33</v>
      </c>
      <c r="B47" s="507" t="str">
        <f>IF('As-Filed Schedule 2A'!B47:D47=0,"",'As-Filed Schedule 2A'!B47:D47)</f>
        <v/>
      </c>
      <c r="C47" s="507"/>
      <c r="D47" s="507"/>
      <c r="F47" s="117">
        <f>'As-Filed Schedule 2A'!F47</f>
        <v>0</v>
      </c>
      <c r="G47" s="313">
        <f>SUMIFS(Adjustments!$G:$G,Adjustments!$H:$H,"2A",Adjustments!$I:$I,'Schedule 2A Adjustments'!$F$12,Adjustments!$J:$J,'Schedule 2A Adjustments'!A47)</f>
        <v>0</v>
      </c>
      <c r="H47" s="309">
        <f t="shared" si="1"/>
        <v>0</v>
      </c>
      <c r="I47" s="68">
        <f>IFERROR(F47*'As-Filed Schedule 1'!$E$103,0)</f>
        <v>0</v>
      </c>
      <c r="J47" s="310">
        <f>IFERROR(H47*'Adjusted Schedule 1'!$E$104,0)</f>
        <v>0</v>
      </c>
      <c r="K47" s="68">
        <f t="shared" si="7"/>
        <v>0</v>
      </c>
      <c r="L47" s="310">
        <f t="shared" si="2"/>
        <v>0</v>
      </c>
      <c r="N47" s="117">
        <f>'As-Filed Schedule 2A'!J47</f>
        <v>0</v>
      </c>
      <c r="O47" s="313">
        <f>SUMIFS(Adjustments!$G:$G,Adjustments!$H:$H,"2A",Adjustments!$I:$I,'Schedule 2A Adjustments'!$N$12,Adjustments!$J:$J,'Schedule 2A Adjustments'!A47)</f>
        <v>0</v>
      </c>
      <c r="P47" s="309">
        <f t="shared" si="3"/>
        <v>0</v>
      </c>
      <c r="Q47" s="68">
        <f>IFERROR(N47*'As-Filed Schedule 1'!$E$103,0)</f>
        <v>0</v>
      </c>
      <c r="R47" s="310">
        <f>IFERROR(P47*'Adjusted Schedule 1'!$E$104,0)</f>
        <v>0</v>
      </c>
      <c r="S47" s="68">
        <f t="shared" si="8"/>
        <v>0</v>
      </c>
      <c r="T47" s="310">
        <f t="shared" si="4"/>
        <v>0</v>
      </c>
      <c r="V47" s="120">
        <f>'As-Filed Schedule 2A'!N47</f>
        <v>0</v>
      </c>
      <c r="W47" s="313">
        <f>SUMIFS(Adjustments!$G:$G,Adjustments!$H:$H,"2A",Adjustments!$I:$I,'Schedule 2A Adjustments'!$V$12,Adjustments!$J:$J,'Schedule 2A Adjustments'!A47)</f>
        <v>0</v>
      </c>
      <c r="X47" s="326">
        <f t="shared" si="5"/>
        <v>0</v>
      </c>
      <c r="Y47" s="120">
        <f>'As-Filed Schedule 2A'!O47</f>
        <v>0</v>
      </c>
      <c r="Z47" s="313">
        <f>SUMIFS(Adjustments!$G:$G,Adjustments!$H:$H,"2A",Adjustments!$I:$I,'Schedule 2A Adjustments'!$Y$12,Adjustments!$J:$J,'Schedule 2A Adjustments'!A47)</f>
        <v>0</v>
      </c>
      <c r="AA47" s="326">
        <f t="shared" si="6"/>
        <v>0</v>
      </c>
    </row>
    <row r="48" spans="1:27" x14ac:dyDescent="0.35">
      <c r="A48" s="24">
        <v>34</v>
      </c>
      <c r="B48" s="507" t="str">
        <f>IF('As-Filed Schedule 2A'!B48:D48=0,"",'As-Filed Schedule 2A'!B48:D48)</f>
        <v/>
      </c>
      <c r="C48" s="507"/>
      <c r="D48" s="507"/>
      <c r="F48" s="117">
        <f>'As-Filed Schedule 2A'!F48</f>
        <v>0</v>
      </c>
      <c r="G48" s="313">
        <f>SUMIFS(Adjustments!$G:$G,Adjustments!$H:$H,"2A",Adjustments!$I:$I,'Schedule 2A Adjustments'!$F$12,Adjustments!$J:$J,'Schedule 2A Adjustments'!A48)</f>
        <v>0</v>
      </c>
      <c r="H48" s="309">
        <f t="shared" si="1"/>
        <v>0</v>
      </c>
      <c r="I48" s="68">
        <f>IFERROR(F48*'As-Filed Schedule 1'!$E$103,0)</f>
        <v>0</v>
      </c>
      <c r="J48" s="310">
        <f>IFERROR(H48*'Adjusted Schedule 1'!$E$104,0)</f>
        <v>0</v>
      </c>
      <c r="K48" s="68">
        <f t="shared" si="7"/>
        <v>0</v>
      </c>
      <c r="L48" s="310">
        <f t="shared" si="2"/>
        <v>0</v>
      </c>
      <c r="N48" s="117">
        <f>'As-Filed Schedule 2A'!J48</f>
        <v>0</v>
      </c>
      <c r="O48" s="313">
        <f>SUMIFS(Adjustments!$G:$G,Adjustments!$H:$H,"2A",Adjustments!$I:$I,'Schedule 2A Adjustments'!$N$12,Adjustments!$J:$J,'Schedule 2A Adjustments'!A48)</f>
        <v>0</v>
      </c>
      <c r="P48" s="309">
        <f t="shared" si="3"/>
        <v>0</v>
      </c>
      <c r="Q48" s="68">
        <f>IFERROR(N48*'As-Filed Schedule 1'!$E$103,0)</f>
        <v>0</v>
      </c>
      <c r="R48" s="310">
        <f>IFERROR(P48*'Adjusted Schedule 1'!$E$104,0)</f>
        <v>0</v>
      </c>
      <c r="S48" s="68">
        <f t="shared" si="8"/>
        <v>0</v>
      </c>
      <c r="T48" s="310">
        <f t="shared" si="4"/>
        <v>0</v>
      </c>
      <c r="V48" s="120">
        <f>'As-Filed Schedule 2A'!N48</f>
        <v>0</v>
      </c>
      <c r="W48" s="313">
        <f>SUMIFS(Adjustments!$G:$G,Adjustments!$H:$H,"2A",Adjustments!$I:$I,'Schedule 2A Adjustments'!$V$12,Adjustments!$J:$J,'Schedule 2A Adjustments'!A48)</f>
        <v>0</v>
      </c>
      <c r="X48" s="326">
        <f t="shared" si="5"/>
        <v>0</v>
      </c>
      <c r="Y48" s="120">
        <f>'As-Filed Schedule 2A'!O48</f>
        <v>0</v>
      </c>
      <c r="Z48" s="313">
        <f>SUMIFS(Adjustments!$G:$G,Adjustments!$H:$H,"2A",Adjustments!$I:$I,'Schedule 2A Adjustments'!$Y$12,Adjustments!$J:$J,'Schedule 2A Adjustments'!A48)</f>
        <v>0</v>
      </c>
      <c r="AA48" s="326">
        <f t="shared" si="6"/>
        <v>0</v>
      </c>
    </row>
    <row r="49" spans="1:27" x14ac:dyDescent="0.35">
      <c r="A49" s="24">
        <v>35</v>
      </c>
      <c r="B49" s="507" t="str">
        <f>IF('As-Filed Schedule 2A'!B49:D49=0,"",'As-Filed Schedule 2A'!B49:D49)</f>
        <v/>
      </c>
      <c r="C49" s="507"/>
      <c r="D49" s="507"/>
      <c r="F49" s="117">
        <f>'As-Filed Schedule 2A'!F49</f>
        <v>0</v>
      </c>
      <c r="G49" s="313">
        <f>SUMIFS(Adjustments!$G:$G,Adjustments!$H:$H,"2A",Adjustments!$I:$I,'Schedule 2A Adjustments'!$F$12,Adjustments!$J:$J,'Schedule 2A Adjustments'!A49)</f>
        <v>0</v>
      </c>
      <c r="H49" s="309">
        <f t="shared" si="1"/>
        <v>0</v>
      </c>
      <c r="I49" s="68">
        <f>IFERROR(F49*'As-Filed Schedule 1'!$E$103,0)</f>
        <v>0</v>
      </c>
      <c r="J49" s="310">
        <f>IFERROR(H49*'Adjusted Schedule 1'!$E$104,0)</f>
        <v>0</v>
      </c>
      <c r="K49" s="68">
        <f t="shared" si="7"/>
        <v>0</v>
      </c>
      <c r="L49" s="310">
        <f t="shared" si="2"/>
        <v>0</v>
      </c>
      <c r="N49" s="117">
        <f>'As-Filed Schedule 2A'!J49</f>
        <v>0</v>
      </c>
      <c r="O49" s="313">
        <f>SUMIFS(Adjustments!$G:$G,Adjustments!$H:$H,"2A",Adjustments!$I:$I,'Schedule 2A Adjustments'!$N$12,Adjustments!$J:$J,'Schedule 2A Adjustments'!A49)</f>
        <v>0</v>
      </c>
      <c r="P49" s="309">
        <f t="shared" si="3"/>
        <v>0</v>
      </c>
      <c r="Q49" s="68">
        <f>IFERROR(N49*'As-Filed Schedule 1'!$E$103,0)</f>
        <v>0</v>
      </c>
      <c r="R49" s="310">
        <f>IFERROR(P49*'Adjusted Schedule 1'!$E$104,0)</f>
        <v>0</v>
      </c>
      <c r="S49" s="68">
        <f t="shared" si="8"/>
        <v>0</v>
      </c>
      <c r="T49" s="310">
        <f t="shared" si="4"/>
        <v>0</v>
      </c>
      <c r="V49" s="120">
        <f>'As-Filed Schedule 2A'!N49</f>
        <v>0</v>
      </c>
      <c r="W49" s="313">
        <f>SUMIFS(Adjustments!$G:$G,Adjustments!$H:$H,"2A",Adjustments!$I:$I,'Schedule 2A Adjustments'!$V$12,Adjustments!$J:$J,'Schedule 2A Adjustments'!A49)</f>
        <v>0</v>
      </c>
      <c r="X49" s="326">
        <f t="shared" si="5"/>
        <v>0</v>
      </c>
      <c r="Y49" s="120">
        <f>'As-Filed Schedule 2A'!O49</f>
        <v>0</v>
      </c>
      <c r="Z49" s="313">
        <f>SUMIFS(Adjustments!$G:$G,Adjustments!$H:$H,"2A",Adjustments!$I:$I,'Schedule 2A Adjustments'!$Y$12,Adjustments!$J:$J,'Schedule 2A Adjustments'!A49)</f>
        <v>0</v>
      </c>
      <c r="AA49" s="326">
        <f t="shared" si="6"/>
        <v>0</v>
      </c>
    </row>
    <row r="50" spans="1:27" x14ac:dyDescent="0.35">
      <c r="A50" s="24">
        <v>36</v>
      </c>
      <c r="B50" s="507" t="str">
        <f>IF('As-Filed Schedule 2A'!B50:D50=0,"",'As-Filed Schedule 2A'!B50:D50)</f>
        <v/>
      </c>
      <c r="C50" s="507"/>
      <c r="D50" s="507"/>
      <c r="F50" s="117">
        <f>'As-Filed Schedule 2A'!F50</f>
        <v>0</v>
      </c>
      <c r="G50" s="313">
        <f>SUMIFS(Adjustments!$G:$G,Adjustments!$H:$H,"2A",Adjustments!$I:$I,'Schedule 2A Adjustments'!$F$12,Adjustments!$J:$J,'Schedule 2A Adjustments'!A50)</f>
        <v>0</v>
      </c>
      <c r="H50" s="309">
        <f t="shared" si="1"/>
        <v>0</v>
      </c>
      <c r="I50" s="68">
        <f>IFERROR(F50*'As-Filed Schedule 1'!$E$103,0)</f>
        <v>0</v>
      </c>
      <c r="J50" s="310">
        <f>IFERROR(H50*'Adjusted Schedule 1'!$E$104,0)</f>
        <v>0</v>
      </c>
      <c r="K50" s="68">
        <f t="shared" si="7"/>
        <v>0</v>
      </c>
      <c r="L50" s="310">
        <f t="shared" si="2"/>
        <v>0</v>
      </c>
      <c r="N50" s="117">
        <f>'As-Filed Schedule 2A'!J50</f>
        <v>0</v>
      </c>
      <c r="O50" s="313">
        <f>SUMIFS(Adjustments!$G:$G,Adjustments!$H:$H,"2A",Adjustments!$I:$I,'Schedule 2A Adjustments'!$N$12,Adjustments!$J:$J,'Schedule 2A Adjustments'!A50)</f>
        <v>0</v>
      </c>
      <c r="P50" s="309">
        <f t="shared" si="3"/>
        <v>0</v>
      </c>
      <c r="Q50" s="68">
        <f>IFERROR(N50*'As-Filed Schedule 1'!$E$103,0)</f>
        <v>0</v>
      </c>
      <c r="R50" s="310">
        <f>IFERROR(P50*'Adjusted Schedule 1'!$E$104,0)</f>
        <v>0</v>
      </c>
      <c r="S50" s="68">
        <f t="shared" si="8"/>
        <v>0</v>
      </c>
      <c r="T50" s="310">
        <f t="shared" si="4"/>
        <v>0</v>
      </c>
      <c r="V50" s="120">
        <f>'As-Filed Schedule 2A'!N50</f>
        <v>0</v>
      </c>
      <c r="W50" s="313">
        <f>SUMIFS(Adjustments!$G:$G,Adjustments!$H:$H,"2A",Adjustments!$I:$I,'Schedule 2A Adjustments'!$V$12,Adjustments!$J:$J,'Schedule 2A Adjustments'!A50)</f>
        <v>0</v>
      </c>
      <c r="X50" s="326">
        <f t="shared" si="5"/>
        <v>0</v>
      </c>
      <c r="Y50" s="120">
        <f>'As-Filed Schedule 2A'!O50</f>
        <v>0</v>
      </c>
      <c r="Z50" s="313">
        <f>SUMIFS(Adjustments!$G:$G,Adjustments!$H:$H,"2A",Adjustments!$I:$I,'Schedule 2A Adjustments'!$Y$12,Adjustments!$J:$J,'Schedule 2A Adjustments'!A50)</f>
        <v>0</v>
      </c>
      <c r="AA50" s="326">
        <f t="shared" si="6"/>
        <v>0</v>
      </c>
    </row>
    <row r="51" spans="1:27" x14ac:dyDescent="0.35">
      <c r="A51" s="24">
        <v>37</v>
      </c>
      <c r="B51" s="507" t="str">
        <f>IF('As-Filed Schedule 2A'!B51:D51=0,"",'As-Filed Schedule 2A'!B51:D51)</f>
        <v/>
      </c>
      <c r="C51" s="507"/>
      <c r="D51" s="507"/>
      <c r="F51" s="117">
        <f>'As-Filed Schedule 2A'!F51</f>
        <v>0</v>
      </c>
      <c r="G51" s="313">
        <f>SUMIFS(Adjustments!$G:$G,Adjustments!$H:$H,"2A",Adjustments!$I:$I,'Schedule 2A Adjustments'!$F$12,Adjustments!$J:$J,'Schedule 2A Adjustments'!A51)</f>
        <v>0</v>
      </c>
      <c r="H51" s="309">
        <f t="shared" si="1"/>
        <v>0</v>
      </c>
      <c r="I51" s="68">
        <f>IFERROR(F51*'As-Filed Schedule 1'!$E$103,0)</f>
        <v>0</v>
      </c>
      <c r="J51" s="310">
        <f>IFERROR(H51*'Adjusted Schedule 1'!$E$104,0)</f>
        <v>0</v>
      </c>
      <c r="K51" s="68">
        <f t="shared" si="7"/>
        <v>0</v>
      </c>
      <c r="L51" s="310">
        <f t="shared" si="2"/>
        <v>0</v>
      </c>
      <c r="N51" s="117">
        <f>'As-Filed Schedule 2A'!J51</f>
        <v>0</v>
      </c>
      <c r="O51" s="313">
        <f>SUMIFS(Adjustments!$G:$G,Adjustments!$H:$H,"2A",Adjustments!$I:$I,'Schedule 2A Adjustments'!$N$12,Adjustments!$J:$J,'Schedule 2A Adjustments'!A51)</f>
        <v>0</v>
      </c>
      <c r="P51" s="309">
        <f t="shared" si="3"/>
        <v>0</v>
      </c>
      <c r="Q51" s="68">
        <f>IFERROR(N51*'As-Filed Schedule 1'!$E$103,0)</f>
        <v>0</v>
      </c>
      <c r="R51" s="310">
        <f>IFERROR(P51*'Adjusted Schedule 1'!$E$104,0)</f>
        <v>0</v>
      </c>
      <c r="S51" s="68">
        <f t="shared" si="8"/>
        <v>0</v>
      </c>
      <c r="T51" s="310">
        <f t="shared" si="4"/>
        <v>0</v>
      </c>
      <c r="V51" s="120">
        <f>'As-Filed Schedule 2A'!N51</f>
        <v>0</v>
      </c>
      <c r="W51" s="313">
        <f>SUMIFS(Adjustments!$G:$G,Adjustments!$H:$H,"2A",Adjustments!$I:$I,'Schedule 2A Adjustments'!$V$12,Adjustments!$J:$J,'Schedule 2A Adjustments'!A51)</f>
        <v>0</v>
      </c>
      <c r="X51" s="326">
        <f t="shared" si="5"/>
        <v>0</v>
      </c>
      <c r="Y51" s="120">
        <f>'As-Filed Schedule 2A'!O51</f>
        <v>0</v>
      </c>
      <c r="Z51" s="313">
        <f>SUMIFS(Adjustments!$G:$G,Adjustments!$H:$H,"2A",Adjustments!$I:$I,'Schedule 2A Adjustments'!$Y$12,Adjustments!$J:$J,'Schedule 2A Adjustments'!A51)</f>
        <v>0</v>
      </c>
      <c r="AA51" s="326">
        <f t="shared" si="6"/>
        <v>0</v>
      </c>
    </row>
    <row r="52" spans="1:27" x14ac:dyDescent="0.35">
      <c r="A52" s="24">
        <v>38</v>
      </c>
      <c r="B52" s="507" t="str">
        <f>IF('As-Filed Schedule 2A'!B52:D52=0,"",'As-Filed Schedule 2A'!B52:D52)</f>
        <v/>
      </c>
      <c r="C52" s="507"/>
      <c r="D52" s="507"/>
      <c r="F52" s="117">
        <f>'As-Filed Schedule 2A'!F52</f>
        <v>0</v>
      </c>
      <c r="G52" s="313">
        <f>SUMIFS(Adjustments!$G:$G,Adjustments!$H:$H,"2A",Adjustments!$I:$I,'Schedule 2A Adjustments'!$F$12,Adjustments!$J:$J,'Schedule 2A Adjustments'!A52)</f>
        <v>0</v>
      </c>
      <c r="H52" s="309">
        <f t="shared" si="1"/>
        <v>0</v>
      </c>
      <c r="I52" s="68">
        <f>IFERROR(F52*'As-Filed Schedule 1'!$E$103,0)</f>
        <v>0</v>
      </c>
      <c r="J52" s="310">
        <f>IFERROR(H52*'Adjusted Schedule 1'!$E$104,0)</f>
        <v>0</v>
      </c>
      <c r="K52" s="68">
        <f t="shared" si="7"/>
        <v>0</v>
      </c>
      <c r="L52" s="310">
        <f t="shared" si="2"/>
        <v>0</v>
      </c>
      <c r="N52" s="117">
        <f>'As-Filed Schedule 2A'!J52</f>
        <v>0</v>
      </c>
      <c r="O52" s="313">
        <f>SUMIFS(Adjustments!$G:$G,Adjustments!$H:$H,"2A",Adjustments!$I:$I,'Schedule 2A Adjustments'!$N$12,Adjustments!$J:$J,'Schedule 2A Adjustments'!A52)</f>
        <v>0</v>
      </c>
      <c r="P52" s="309">
        <f t="shared" si="3"/>
        <v>0</v>
      </c>
      <c r="Q52" s="68">
        <f>IFERROR(N52*'As-Filed Schedule 1'!$E$103,0)</f>
        <v>0</v>
      </c>
      <c r="R52" s="310">
        <f>IFERROR(P52*'Adjusted Schedule 1'!$E$104,0)</f>
        <v>0</v>
      </c>
      <c r="S52" s="68">
        <f t="shared" si="8"/>
        <v>0</v>
      </c>
      <c r="T52" s="310">
        <f t="shared" si="4"/>
        <v>0</v>
      </c>
      <c r="V52" s="120">
        <f>'As-Filed Schedule 2A'!N52</f>
        <v>0</v>
      </c>
      <c r="W52" s="313">
        <f>SUMIFS(Adjustments!$G:$G,Adjustments!$H:$H,"2A",Adjustments!$I:$I,'Schedule 2A Adjustments'!$V$12,Adjustments!$J:$J,'Schedule 2A Adjustments'!A52)</f>
        <v>0</v>
      </c>
      <c r="X52" s="326">
        <f t="shared" si="5"/>
        <v>0</v>
      </c>
      <c r="Y52" s="120">
        <f>'As-Filed Schedule 2A'!O52</f>
        <v>0</v>
      </c>
      <c r="Z52" s="313">
        <f>SUMIFS(Adjustments!$G:$G,Adjustments!$H:$H,"2A",Adjustments!$I:$I,'Schedule 2A Adjustments'!$Y$12,Adjustments!$J:$J,'Schedule 2A Adjustments'!A52)</f>
        <v>0</v>
      </c>
      <c r="AA52" s="326">
        <f t="shared" si="6"/>
        <v>0</v>
      </c>
    </row>
    <row r="53" spans="1:27" x14ac:dyDescent="0.35">
      <c r="A53" s="24">
        <v>39</v>
      </c>
      <c r="B53" s="507" t="str">
        <f>IF('As-Filed Schedule 2A'!B53:D53=0,"",'As-Filed Schedule 2A'!B53:D53)</f>
        <v/>
      </c>
      <c r="C53" s="507"/>
      <c r="D53" s="507"/>
      <c r="F53" s="117">
        <f>'As-Filed Schedule 2A'!F53</f>
        <v>0</v>
      </c>
      <c r="G53" s="313">
        <f>SUMIFS(Adjustments!$G:$G,Adjustments!$H:$H,"2A",Adjustments!$I:$I,'Schedule 2A Adjustments'!$F$12,Adjustments!$J:$J,'Schedule 2A Adjustments'!A53)</f>
        <v>0</v>
      </c>
      <c r="H53" s="309">
        <f t="shared" si="1"/>
        <v>0</v>
      </c>
      <c r="I53" s="68">
        <f>IFERROR(F53*'As-Filed Schedule 1'!$E$103,0)</f>
        <v>0</v>
      </c>
      <c r="J53" s="310">
        <f>IFERROR(H53*'Adjusted Schedule 1'!$E$104,0)</f>
        <v>0</v>
      </c>
      <c r="K53" s="68">
        <f t="shared" si="7"/>
        <v>0</v>
      </c>
      <c r="L53" s="310">
        <f t="shared" si="2"/>
        <v>0</v>
      </c>
      <c r="N53" s="117">
        <f>'As-Filed Schedule 2A'!J53</f>
        <v>0</v>
      </c>
      <c r="O53" s="313">
        <f>SUMIFS(Adjustments!$G:$G,Adjustments!$H:$H,"2A",Adjustments!$I:$I,'Schedule 2A Adjustments'!$N$12,Adjustments!$J:$J,'Schedule 2A Adjustments'!A53)</f>
        <v>0</v>
      </c>
      <c r="P53" s="309">
        <f t="shared" si="3"/>
        <v>0</v>
      </c>
      <c r="Q53" s="68">
        <f>IFERROR(N53*'As-Filed Schedule 1'!$E$103,0)</f>
        <v>0</v>
      </c>
      <c r="R53" s="310">
        <f>IFERROR(P53*'Adjusted Schedule 1'!$E$104,0)</f>
        <v>0</v>
      </c>
      <c r="S53" s="68">
        <f t="shared" si="8"/>
        <v>0</v>
      </c>
      <c r="T53" s="310">
        <f t="shared" si="4"/>
        <v>0</v>
      </c>
      <c r="V53" s="120">
        <f>'As-Filed Schedule 2A'!N53</f>
        <v>0</v>
      </c>
      <c r="W53" s="313">
        <f>SUMIFS(Adjustments!$G:$G,Adjustments!$H:$H,"2A",Adjustments!$I:$I,'Schedule 2A Adjustments'!$V$12,Adjustments!$J:$J,'Schedule 2A Adjustments'!A53)</f>
        <v>0</v>
      </c>
      <c r="X53" s="326">
        <f t="shared" si="5"/>
        <v>0</v>
      </c>
      <c r="Y53" s="120">
        <f>'As-Filed Schedule 2A'!O53</f>
        <v>0</v>
      </c>
      <c r="Z53" s="313">
        <f>SUMIFS(Adjustments!$G:$G,Adjustments!$H:$H,"2A",Adjustments!$I:$I,'Schedule 2A Adjustments'!$Y$12,Adjustments!$J:$J,'Schedule 2A Adjustments'!A53)</f>
        <v>0</v>
      </c>
      <c r="AA53" s="326">
        <f t="shared" si="6"/>
        <v>0</v>
      </c>
    </row>
    <row r="54" spans="1:27" x14ac:dyDescent="0.35">
      <c r="A54" s="24">
        <v>40</v>
      </c>
      <c r="B54" s="507" t="str">
        <f>IF('As-Filed Schedule 2A'!B54:D54=0,"",'As-Filed Schedule 2A'!B54:D54)</f>
        <v/>
      </c>
      <c r="C54" s="507"/>
      <c r="D54" s="507"/>
      <c r="F54" s="117">
        <f>'As-Filed Schedule 2A'!F54</f>
        <v>0</v>
      </c>
      <c r="G54" s="313">
        <f>SUMIFS(Adjustments!$G:$G,Adjustments!$H:$H,"2A",Adjustments!$I:$I,'Schedule 2A Adjustments'!$F$12,Adjustments!$J:$J,'Schedule 2A Adjustments'!A54)</f>
        <v>0</v>
      </c>
      <c r="H54" s="309">
        <f t="shared" si="1"/>
        <v>0</v>
      </c>
      <c r="I54" s="68">
        <f>IFERROR(F54*'As-Filed Schedule 1'!$E$103,0)</f>
        <v>0</v>
      </c>
      <c r="J54" s="310">
        <f>IFERROR(H54*'Adjusted Schedule 1'!$E$104,0)</f>
        <v>0</v>
      </c>
      <c r="K54" s="68">
        <f t="shared" si="7"/>
        <v>0</v>
      </c>
      <c r="L54" s="310">
        <f t="shared" si="2"/>
        <v>0</v>
      </c>
      <c r="N54" s="117">
        <f>'As-Filed Schedule 2A'!J54</f>
        <v>0</v>
      </c>
      <c r="O54" s="313">
        <f>SUMIFS(Adjustments!$G:$G,Adjustments!$H:$H,"2A",Adjustments!$I:$I,'Schedule 2A Adjustments'!$N$12,Adjustments!$J:$J,'Schedule 2A Adjustments'!A54)</f>
        <v>0</v>
      </c>
      <c r="P54" s="309">
        <f t="shared" si="3"/>
        <v>0</v>
      </c>
      <c r="Q54" s="68">
        <f>IFERROR(N54*'As-Filed Schedule 1'!$E$103,0)</f>
        <v>0</v>
      </c>
      <c r="R54" s="310">
        <f>IFERROR(P54*'Adjusted Schedule 1'!$E$104,0)</f>
        <v>0</v>
      </c>
      <c r="S54" s="68">
        <f t="shared" si="8"/>
        <v>0</v>
      </c>
      <c r="T54" s="310">
        <f t="shared" si="4"/>
        <v>0</v>
      </c>
      <c r="V54" s="120">
        <f>'As-Filed Schedule 2A'!N54</f>
        <v>0</v>
      </c>
      <c r="W54" s="313">
        <f>SUMIFS(Adjustments!$G:$G,Adjustments!$H:$H,"2A",Adjustments!$I:$I,'Schedule 2A Adjustments'!$V$12,Adjustments!$J:$J,'Schedule 2A Adjustments'!A54)</f>
        <v>0</v>
      </c>
      <c r="X54" s="326">
        <f t="shared" si="5"/>
        <v>0</v>
      </c>
      <c r="Y54" s="120">
        <f>'As-Filed Schedule 2A'!O54</f>
        <v>0</v>
      </c>
      <c r="Z54" s="313">
        <f>SUMIFS(Adjustments!$G:$G,Adjustments!$H:$H,"2A",Adjustments!$I:$I,'Schedule 2A Adjustments'!$Y$12,Adjustments!$J:$J,'Schedule 2A Adjustments'!A54)</f>
        <v>0</v>
      </c>
      <c r="AA54" s="326">
        <f t="shared" si="6"/>
        <v>0</v>
      </c>
    </row>
    <row r="55" spans="1:27" x14ac:dyDescent="0.35">
      <c r="A55" s="24">
        <v>41</v>
      </c>
      <c r="B55" s="507" t="str">
        <f>IF('As-Filed Schedule 2A'!B55:D55=0,"",'As-Filed Schedule 2A'!B55:D55)</f>
        <v/>
      </c>
      <c r="C55" s="507"/>
      <c r="D55" s="507"/>
      <c r="F55" s="117">
        <f>'As-Filed Schedule 2A'!F55</f>
        <v>0</v>
      </c>
      <c r="G55" s="313">
        <f>SUMIFS(Adjustments!$G:$G,Adjustments!$H:$H,"2A",Adjustments!$I:$I,'Schedule 2A Adjustments'!$F$12,Adjustments!$J:$J,'Schedule 2A Adjustments'!A55)</f>
        <v>0</v>
      </c>
      <c r="H55" s="309">
        <f t="shared" si="1"/>
        <v>0</v>
      </c>
      <c r="I55" s="68">
        <f>IFERROR(F55*'As-Filed Schedule 1'!$E$103,0)</f>
        <v>0</v>
      </c>
      <c r="J55" s="310">
        <f>IFERROR(H55*'Adjusted Schedule 1'!$E$104,0)</f>
        <v>0</v>
      </c>
      <c r="K55" s="68">
        <f t="shared" si="7"/>
        <v>0</v>
      </c>
      <c r="L55" s="310">
        <f t="shared" si="2"/>
        <v>0</v>
      </c>
      <c r="N55" s="117">
        <f>'As-Filed Schedule 2A'!J55</f>
        <v>0</v>
      </c>
      <c r="O55" s="313">
        <f>SUMIFS(Adjustments!$G:$G,Adjustments!$H:$H,"2A",Adjustments!$I:$I,'Schedule 2A Adjustments'!$N$12,Adjustments!$J:$J,'Schedule 2A Adjustments'!A55)</f>
        <v>0</v>
      </c>
      <c r="P55" s="309">
        <f t="shared" si="3"/>
        <v>0</v>
      </c>
      <c r="Q55" s="68">
        <f>IFERROR(N55*'As-Filed Schedule 1'!$E$103,0)</f>
        <v>0</v>
      </c>
      <c r="R55" s="310">
        <f>IFERROR(P55*'Adjusted Schedule 1'!$E$104,0)</f>
        <v>0</v>
      </c>
      <c r="S55" s="68">
        <f t="shared" si="8"/>
        <v>0</v>
      </c>
      <c r="T55" s="310">
        <f t="shared" si="4"/>
        <v>0</v>
      </c>
      <c r="V55" s="120">
        <f>'As-Filed Schedule 2A'!N55</f>
        <v>0</v>
      </c>
      <c r="W55" s="313">
        <f>SUMIFS(Adjustments!$G:$G,Adjustments!$H:$H,"2A",Adjustments!$I:$I,'Schedule 2A Adjustments'!$V$12,Adjustments!$J:$J,'Schedule 2A Adjustments'!A55)</f>
        <v>0</v>
      </c>
      <c r="X55" s="326">
        <f t="shared" si="5"/>
        <v>0</v>
      </c>
      <c r="Y55" s="120">
        <f>'As-Filed Schedule 2A'!O55</f>
        <v>0</v>
      </c>
      <c r="Z55" s="313">
        <f>SUMIFS(Adjustments!$G:$G,Adjustments!$H:$H,"2A",Adjustments!$I:$I,'Schedule 2A Adjustments'!$Y$12,Adjustments!$J:$J,'Schedule 2A Adjustments'!A55)</f>
        <v>0</v>
      </c>
      <c r="AA55" s="326">
        <f t="shared" si="6"/>
        <v>0</v>
      </c>
    </row>
    <row r="56" spans="1:27" x14ac:dyDescent="0.35">
      <c r="A56" s="24">
        <v>42</v>
      </c>
      <c r="B56" s="507" t="str">
        <f>IF('As-Filed Schedule 2A'!B56:D56=0,"",'As-Filed Schedule 2A'!B56:D56)</f>
        <v/>
      </c>
      <c r="C56" s="507"/>
      <c r="D56" s="507"/>
      <c r="F56" s="117">
        <f>'As-Filed Schedule 2A'!F56</f>
        <v>0</v>
      </c>
      <c r="G56" s="313">
        <f>SUMIFS(Adjustments!$G:$G,Adjustments!$H:$H,"2A",Adjustments!$I:$I,'Schedule 2A Adjustments'!$F$12,Adjustments!$J:$J,'Schedule 2A Adjustments'!A56)</f>
        <v>0</v>
      </c>
      <c r="H56" s="309">
        <f t="shared" si="1"/>
        <v>0</v>
      </c>
      <c r="I56" s="68">
        <f>IFERROR(F56*'As-Filed Schedule 1'!$E$103,0)</f>
        <v>0</v>
      </c>
      <c r="J56" s="310">
        <f>IFERROR(H56*'Adjusted Schedule 1'!$E$104,0)</f>
        <v>0</v>
      </c>
      <c r="K56" s="68">
        <f t="shared" si="7"/>
        <v>0</v>
      </c>
      <c r="L56" s="310">
        <f t="shared" si="2"/>
        <v>0</v>
      </c>
      <c r="N56" s="117">
        <f>'As-Filed Schedule 2A'!J56</f>
        <v>0</v>
      </c>
      <c r="O56" s="313">
        <f>SUMIFS(Adjustments!$G:$G,Adjustments!$H:$H,"2A",Adjustments!$I:$I,'Schedule 2A Adjustments'!$N$12,Adjustments!$J:$J,'Schedule 2A Adjustments'!A56)</f>
        <v>0</v>
      </c>
      <c r="P56" s="309">
        <f t="shared" si="3"/>
        <v>0</v>
      </c>
      <c r="Q56" s="68">
        <f>IFERROR(N56*'As-Filed Schedule 1'!$E$103,0)</f>
        <v>0</v>
      </c>
      <c r="R56" s="310">
        <f>IFERROR(P56*'Adjusted Schedule 1'!$E$104,0)</f>
        <v>0</v>
      </c>
      <c r="S56" s="68">
        <f t="shared" si="8"/>
        <v>0</v>
      </c>
      <c r="T56" s="310">
        <f t="shared" si="4"/>
        <v>0</v>
      </c>
      <c r="V56" s="120">
        <f>'As-Filed Schedule 2A'!N56</f>
        <v>0</v>
      </c>
      <c r="W56" s="313">
        <f>SUMIFS(Adjustments!$G:$G,Adjustments!$H:$H,"2A",Adjustments!$I:$I,'Schedule 2A Adjustments'!$V$12,Adjustments!$J:$J,'Schedule 2A Adjustments'!A56)</f>
        <v>0</v>
      </c>
      <c r="X56" s="326">
        <f t="shared" si="5"/>
        <v>0</v>
      </c>
      <c r="Y56" s="120">
        <f>'As-Filed Schedule 2A'!O56</f>
        <v>0</v>
      </c>
      <c r="Z56" s="313">
        <f>SUMIFS(Adjustments!$G:$G,Adjustments!$H:$H,"2A",Adjustments!$I:$I,'Schedule 2A Adjustments'!$Y$12,Adjustments!$J:$J,'Schedule 2A Adjustments'!A56)</f>
        <v>0</v>
      </c>
      <c r="AA56" s="326">
        <f t="shared" si="6"/>
        <v>0</v>
      </c>
    </row>
    <row r="57" spans="1:27" x14ac:dyDescent="0.35">
      <c r="A57" s="24">
        <v>43</v>
      </c>
      <c r="B57" s="507" t="str">
        <f>IF('As-Filed Schedule 2A'!B57:D57=0,"",'As-Filed Schedule 2A'!B57:D57)</f>
        <v/>
      </c>
      <c r="C57" s="507"/>
      <c r="D57" s="507"/>
      <c r="F57" s="117">
        <f>'As-Filed Schedule 2A'!F57</f>
        <v>0</v>
      </c>
      <c r="G57" s="313">
        <f>SUMIFS(Adjustments!$G:$G,Adjustments!$H:$H,"2A",Adjustments!$I:$I,'Schedule 2A Adjustments'!$F$12,Adjustments!$J:$J,'Schedule 2A Adjustments'!A57)</f>
        <v>0</v>
      </c>
      <c r="H57" s="309">
        <f t="shared" si="1"/>
        <v>0</v>
      </c>
      <c r="I57" s="68">
        <f>IFERROR(F57*'As-Filed Schedule 1'!$E$103,0)</f>
        <v>0</v>
      </c>
      <c r="J57" s="310">
        <f>IFERROR(H57*'Adjusted Schedule 1'!$E$104,0)</f>
        <v>0</v>
      </c>
      <c r="K57" s="68">
        <f t="shared" si="7"/>
        <v>0</v>
      </c>
      <c r="L57" s="310">
        <f t="shared" si="2"/>
        <v>0</v>
      </c>
      <c r="N57" s="117">
        <f>'As-Filed Schedule 2A'!J57</f>
        <v>0</v>
      </c>
      <c r="O57" s="313">
        <f>SUMIFS(Adjustments!$G:$G,Adjustments!$H:$H,"2A",Adjustments!$I:$I,'Schedule 2A Adjustments'!$N$12,Adjustments!$J:$J,'Schedule 2A Adjustments'!A57)</f>
        <v>0</v>
      </c>
      <c r="P57" s="309">
        <f t="shared" si="3"/>
        <v>0</v>
      </c>
      <c r="Q57" s="68">
        <f>IFERROR(N57*'As-Filed Schedule 1'!$E$103,0)</f>
        <v>0</v>
      </c>
      <c r="R57" s="310">
        <f>IFERROR(P57*'Adjusted Schedule 1'!$E$104,0)</f>
        <v>0</v>
      </c>
      <c r="S57" s="68">
        <f t="shared" si="8"/>
        <v>0</v>
      </c>
      <c r="T57" s="310">
        <f t="shared" si="4"/>
        <v>0</v>
      </c>
      <c r="V57" s="120">
        <f>'As-Filed Schedule 2A'!N57</f>
        <v>0</v>
      </c>
      <c r="W57" s="313">
        <f>SUMIFS(Adjustments!$G:$G,Adjustments!$H:$H,"2A",Adjustments!$I:$I,'Schedule 2A Adjustments'!$V$12,Adjustments!$J:$J,'Schedule 2A Adjustments'!A57)</f>
        <v>0</v>
      </c>
      <c r="X57" s="326">
        <f t="shared" si="5"/>
        <v>0</v>
      </c>
      <c r="Y57" s="120">
        <f>'As-Filed Schedule 2A'!O57</f>
        <v>0</v>
      </c>
      <c r="Z57" s="313">
        <f>SUMIFS(Adjustments!$G:$G,Adjustments!$H:$H,"2A",Adjustments!$I:$I,'Schedule 2A Adjustments'!$Y$12,Adjustments!$J:$J,'Schedule 2A Adjustments'!A57)</f>
        <v>0</v>
      </c>
      <c r="AA57" s="326">
        <f t="shared" si="6"/>
        <v>0</v>
      </c>
    </row>
    <row r="58" spans="1:27" x14ac:dyDescent="0.35">
      <c r="A58" s="24">
        <v>44</v>
      </c>
      <c r="B58" s="507" t="str">
        <f>IF('As-Filed Schedule 2A'!B58:D58=0,"",'As-Filed Schedule 2A'!B58:D58)</f>
        <v/>
      </c>
      <c r="C58" s="507"/>
      <c r="D58" s="507"/>
      <c r="F58" s="117">
        <f>'As-Filed Schedule 2A'!F58</f>
        <v>0</v>
      </c>
      <c r="G58" s="313">
        <f>SUMIFS(Adjustments!$G:$G,Adjustments!$H:$H,"2A",Adjustments!$I:$I,'Schedule 2A Adjustments'!$F$12,Adjustments!$J:$J,'Schedule 2A Adjustments'!A58)</f>
        <v>0</v>
      </c>
      <c r="H58" s="309">
        <f t="shared" si="1"/>
        <v>0</v>
      </c>
      <c r="I58" s="68">
        <f>IFERROR(F58*'As-Filed Schedule 1'!$E$103,0)</f>
        <v>0</v>
      </c>
      <c r="J58" s="310">
        <f>IFERROR(H58*'Adjusted Schedule 1'!$E$104,0)</f>
        <v>0</v>
      </c>
      <c r="K58" s="68">
        <f t="shared" si="7"/>
        <v>0</v>
      </c>
      <c r="L58" s="310">
        <f t="shared" si="2"/>
        <v>0</v>
      </c>
      <c r="N58" s="117">
        <f>'As-Filed Schedule 2A'!J58</f>
        <v>0</v>
      </c>
      <c r="O58" s="313">
        <f>SUMIFS(Adjustments!$G:$G,Adjustments!$H:$H,"2A",Adjustments!$I:$I,'Schedule 2A Adjustments'!$N$12,Adjustments!$J:$J,'Schedule 2A Adjustments'!A58)</f>
        <v>0</v>
      </c>
      <c r="P58" s="309">
        <f t="shared" si="3"/>
        <v>0</v>
      </c>
      <c r="Q58" s="68">
        <f>IFERROR(N58*'As-Filed Schedule 1'!$E$103,0)</f>
        <v>0</v>
      </c>
      <c r="R58" s="310">
        <f>IFERROR(P58*'Adjusted Schedule 1'!$E$104,0)</f>
        <v>0</v>
      </c>
      <c r="S58" s="68">
        <f t="shared" si="8"/>
        <v>0</v>
      </c>
      <c r="T58" s="310">
        <f t="shared" si="4"/>
        <v>0</v>
      </c>
      <c r="V58" s="120">
        <f>'As-Filed Schedule 2A'!N58</f>
        <v>0</v>
      </c>
      <c r="W58" s="313">
        <f>SUMIFS(Adjustments!$G:$G,Adjustments!$H:$H,"2A",Adjustments!$I:$I,'Schedule 2A Adjustments'!$V$12,Adjustments!$J:$J,'Schedule 2A Adjustments'!A58)</f>
        <v>0</v>
      </c>
      <c r="X58" s="326">
        <f t="shared" si="5"/>
        <v>0</v>
      </c>
      <c r="Y58" s="120">
        <f>'As-Filed Schedule 2A'!O58</f>
        <v>0</v>
      </c>
      <c r="Z58" s="313">
        <f>SUMIFS(Adjustments!$G:$G,Adjustments!$H:$H,"2A",Adjustments!$I:$I,'Schedule 2A Adjustments'!$Y$12,Adjustments!$J:$J,'Schedule 2A Adjustments'!A58)</f>
        <v>0</v>
      </c>
      <c r="AA58" s="326">
        <f t="shared" si="6"/>
        <v>0</v>
      </c>
    </row>
    <row r="59" spans="1:27" x14ac:dyDescent="0.35">
      <c r="A59" s="24">
        <v>45</v>
      </c>
      <c r="B59" s="507" t="str">
        <f>IF('As-Filed Schedule 2A'!B59:D59=0,"",'As-Filed Schedule 2A'!B59:D59)</f>
        <v/>
      </c>
      <c r="C59" s="507"/>
      <c r="D59" s="507"/>
      <c r="F59" s="117">
        <f>'As-Filed Schedule 2A'!F59</f>
        <v>0</v>
      </c>
      <c r="G59" s="313">
        <f>SUMIFS(Adjustments!$G:$G,Adjustments!$H:$H,"2A",Adjustments!$I:$I,'Schedule 2A Adjustments'!$F$12,Adjustments!$J:$J,'Schedule 2A Adjustments'!A59)</f>
        <v>0</v>
      </c>
      <c r="H59" s="309">
        <f t="shared" si="1"/>
        <v>0</v>
      </c>
      <c r="I59" s="68">
        <f>IFERROR(F59*'As-Filed Schedule 1'!$E$103,0)</f>
        <v>0</v>
      </c>
      <c r="J59" s="310">
        <f>IFERROR(H59*'Adjusted Schedule 1'!$E$104,0)</f>
        <v>0</v>
      </c>
      <c r="K59" s="68">
        <f t="shared" si="7"/>
        <v>0</v>
      </c>
      <c r="L59" s="310">
        <f t="shared" si="2"/>
        <v>0</v>
      </c>
      <c r="N59" s="117">
        <f>'As-Filed Schedule 2A'!J59</f>
        <v>0</v>
      </c>
      <c r="O59" s="313">
        <f>SUMIFS(Adjustments!$G:$G,Adjustments!$H:$H,"2A",Adjustments!$I:$I,'Schedule 2A Adjustments'!$N$12,Adjustments!$J:$J,'Schedule 2A Adjustments'!A59)</f>
        <v>0</v>
      </c>
      <c r="P59" s="309">
        <f t="shared" si="3"/>
        <v>0</v>
      </c>
      <c r="Q59" s="68">
        <f>IFERROR(N59*'As-Filed Schedule 1'!$E$103,0)</f>
        <v>0</v>
      </c>
      <c r="R59" s="310">
        <f>IFERROR(P59*'Adjusted Schedule 1'!$E$104,0)</f>
        <v>0</v>
      </c>
      <c r="S59" s="68">
        <f t="shared" si="8"/>
        <v>0</v>
      </c>
      <c r="T59" s="310">
        <f t="shared" si="4"/>
        <v>0</v>
      </c>
      <c r="V59" s="120">
        <f>'As-Filed Schedule 2A'!N59</f>
        <v>0</v>
      </c>
      <c r="W59" s="313">
        <f>SUMIFS(Adjustments!$G:$G,Adjustments!$H:$H,"2A",Adjustments!$I:$I,'Schedule 2A Adjustments'!$V$12,Adjustments!$J:$J,'Schedule 2A Adjustments'!A59)</f>
        <v>0</v>
      </c>
      <c r="X59" s="326">
        <f t="shared" si="5"/>
        <v>0</v>
      </c>
      <c r="Y59" s="120">
        <f>'As-Filed Schedule 2A'!O59</f>
        <v>0</v>
      </c>
      <c r="Z59" s="313">
        <f>SUMIFS(Adjustments!$G:$G,Adjustments!$H:$H,"2A",Adjustments!$I:$I,'Schedule 2A Adjustments'!$Y$12,Adjustments!$J:$J,'Schedule 2A Adjustments'!A59)</f>
        <v>0</v>
      </c>
      <c r="AA59" s="326">
        <f t="shared" si="6"/>
        <v>0</v>
      </c>
    </row>
    <row r="60" spans="1:27" x14ac:dyDescent="0.35">
      <c r="A60" s="24">
        <v>46</v>
      </c>
      <c r="B60" s="507" t="str">
        <f>IF('As-Filed Schedule 2A'!B60:D60=0,"",'As-Filed Schedule 2A'!B60:D60)</f>
        <v/>
      </c>
      <c r="C60" s="507"/>
      <c r="D60" s="507"/>
      <c r="F60" s="117">
        <f>'As-Filed Schedule 2A'!F60</f>
        <v>0</v>
      </c>
      <c r="G60" s="313">
        <f>SUMIFS(Adjustments!$G:$G,Adjustments!$H:$H,"2A",Adjustments!$I:$I,'Schedule 2A Adjustments'!$F$12,Adjustments!$J:$J,'Schedule 2A Adjustments'!A60)</f>
        <v>0</v>
      </c>
      <c r="H60" s="309">
        <f t="shared" si="1"/>
        <v>0</v>
      </c>
      <c r="I60" s="68">
        <f>IFERROR(F60*'As-Filed Schedule 1'!$E$103,0)</f>
        <v>0</v>
      </c>
      <c r="J60" s="310">
        <f>IFERROR(H60*'Adjusted Schedule 1'!$E$104,0)</f>
        <v>0</v>
      </c>
      <c r="K60" s="68">
        <f t="shared" si="7"/>
        <v>0</v>
      </c>
      <c r="L60" s="310">
        <f t="shared" si="2"/>
        <v>0</v>
      </c>
      <c r="N60" s="117">
        <f>'As-Filed Schedule 2A'!J60</f>
        <v>0</v>
      </c>
      <c r="O60" s="313">
        <f>SUMIFS(Adjustments!$G:$G,Adjustments!$H:$H,"2A",Adjustments!$I:$I,'Schedule 2A Adjustments'!$N$12,Adjustments!$J:$J,'Schedule 2A Adjustments'!A60)</f>
        <v>0</v>
      </c>
      <c r="P60" s="309">
        <f t="shared" si="3"/>
        <v>0</v>
      </c>
      <c r="Q60" s="68">
        <f>IFERROR(N60*'As-Filed Schedule 1'!$E$103,0)</f>
        <v>0</v>
      </c>
      <c r="R60" s="310">
        <f>IFERROR(P60*'Adjusted Schedule 1'!$E$104,0)</f>
        <v>0</v>
      </c>
      <c r="S60" s="68">
        <f t="shared" si="8"/>
        <v>0</v>
      </c>
      <c r="T60" s="310">
        <f t="shared" si="4"/>
        <v>0</v>
      </c>
      <c r="V60" s="120">
        <f>'As-Filed Schedule 2A'!N60</f>
        <v>0</v>
      </c>
      <c r="W60" s="313">
        <f>SUMIFS(Adjustments!$G:$G,Adjustments!$H:$H,"2A",Adjustments!$I:$I,'Schedule 2A Adjustments'!$V$12,Adjustments!$J:$J,'Schedule 2A Adjustments'!A60)</f>
        <v>0</v>
      </c>
      <c r="X60" s="326">
        <f t="shared" si="5"/>
        <v>0</v>
      </c>
      <c r="Y60" s="120">
        <f>'As-Filed Schedule 2A'!O60</f>
        <v>0</v>
      </c>
      <c r="Z60" s="313">
        <f>SUMIFS(Adjustments!$G:$G,Adjustments!$H:$H,"2A",Adjustments!$I:$I,'Schedule 2A Adjustments'!$Y$12,Adjustments!$J:$J,'Schedule 2A Adjustments'!A60)</f>
        <v>0</v>
      </c>
      <c r="AA60" s="326">
        <f t="shared" si="6"/>
        <v>0</v>
      </c>
    </row>
    <row r="61" spans="1:27" x14ac:dyDescent="0.35">
      <c r="A61" s="24">
        <v>47</v>
      </c>
      <c r="B61" s="507" t="str">
        <f>IF('As-Filed Schedule 2A'!B61:D61=0,"",'As-Filed Schedule 2A'!B61:D61)</f>
        <v/>
      </c>
      <c r="C61" s="507"/>
      <c r="D61" s="507"/>
      <c r="F61" s="117">
        <f>'As-Filed Schedule 2A'!F61</f>
        <v>0</v>
      </c>
      <c r="G61" s="313">
        <f>SUMIFS(Adjustments!$G:$G,Adjustments!$H:$H,"2A",Adjustments!$I:$I,'Schedule 2A Adjustments'!$F$12,Adjustments!$J:$J,'Schedule 2A Adjustments'!A61)</f>
        <v>0</v>
      </c>
      <c r="H61" s="309">
        <f t="shared" si="1"/>
        <v>0</v>
      </c>
      <c r="I61" s="68">
        <f>IFERROR(F61*'As-Filed Schedule 1'!$E$103,0)</f>
        <v>0</v>
      </c>
      <c r="J61" s="310">
        <f>IFERROR(H61*'Adjusted Schedule 1'!$E$104,0)</f>
        <v>0</v>
      </c>
      <c r="K61" s="68">
        <f t="shared" si="7"/>
        <v>0</v>
      </c>
      <c r="L61" s="310">
        <f t="shared" si="2"/>
        <v>0</v>
      </c>
      <c r="N61" s="117">
        <f>'As-Filed Schedule 2A'!J61</f>
        <v>0</v>
      </c>
      <c r="O61" s="313">
        <f>SUMIFS(Adjustments!$G:$G,Adjustments!$H:$H,"2A",Adjustments!$I:$I,'Schedule 2A Adjustments'!$N$12,Adjustments!$J:$J,'Schedule 2A Adjustments'!A61)</f>
        <v>0</v>
      </c>
      <c r="P61" s="309">
        <f t="shared" si="3"/>
        <v>0</v>
      </c>
      <c r="Q61" s="68">
        <f>IFERROR(N61*'As-Filed Schedule 1'!$E$103,0)</f>
        <v>0</v>
      </c>
      <c r="R61" s="310">
        <f>IFERROR(P61*'Adjusted Schedule 1'!$E$104,0)</f>
        <v>0</v>
      </c>
      <c r="S61" s="68">
        <f t="shared" si="8"/>
        <v>0</v>
      </c>
      <c r="T61" s="310">
        <f t="shared" si="4"/>
        <v>0</v>
      </c>
      <c r="V61" s="120">
        <f>'As-Filed Schedule 2A'!N61</f>
        <v>0</v>
      </c>
      <c r="W61" s="313">
        <f>SUMIFS(Adjustments!$G:$G,Adjustments!$H:$H,"2A",Adjustments!$I:$I,'Schedule 2A Adjustments'!$V$12,Adjustments!$J:$J,'Schedule 2A Adjustments'!A61)</f>
        <v>0</v>
      </c>
      <c r="X61" s="326">
        <f t="shared" si="5"/>
        <v>0</v>
      </c>
      <c r="Y61" s="120">
        <f>'As-Filed Schedule 2A'!O61</f>
        <v>0</v>
      </c>
      <c r="Z61" s="313">
        <f>SUMIFS(Adjustments!$G:$G,Adjustments!$H:$H,"2A",Adjustments!$I:$I,'Schedule 2A Adjustments'!$Y$12,Adjustments!$J:$J,'Schedule 2A Adjustments'!A61)</f>
        <v>0</v>
      </c>
      <c r="AA61" s="326">
        <f t="shared" si="6"/>
        <v>0</v>
      </c>
    </row>
    <row r="62" spans="1:27" x14ac:dyDescent="0.35">
      <c r="A62" s="24">
        <v>48</v>
      </c>
      <c r="B62" s="507" t="str">
        <f>IF('As-Filed Schedule 2A'!B62:D62=0,"",'As-Filed Schedule 2A'!B62:D62)</f>
        <v/>
      </c>
      <c r="C62" s="507"/>
      <c r="D62" s="507"/>
      <c r="F62" s="117">
        <f>'As-Filed Schedule 2A'!F62</f>
        <v>0</v>
      </c>
      <c r="G62" s="313">
        <f>SUMIFS(Adjustments!$G:$G,Adjustments!$H:$H,"2A",Adjustments!$I:$I,'Schedule 2A Adjustments'!$F$12,Adjustments!$J:$J,'Schedule 2A Adjustments'!A62)</f>
        <v>0</v>
      </c>
      <c r="H62" s="309">
        <f t="shared" si="1"/>
        <v>0</v>
      </c>
      <c r="I62" s="68">
        <f>IFERROR(F62*'As-Filed Schedule 1'!$E$103,0)</f>
        <v>0</v>
      </c>
      <c r="J62" s="310">
        <f>IFERROR(H62*'Adjusted Schedule 1'!$E$104,0)</f>
        <v>0</v>
      </c>
      <c r="K62" s="68">
        <f t="shared" si="7"/>
        <v>0</v>
      </c>
      <c r="L62" s="310">
        <f t="shared" si="2"/>
        <v>0</v>
      </c>
      <c r="N62" s="117">
        <f>'As-Filed Schedule 2A'!J62</f>
        <v>0</v>
      </c>
      <c r="O62" s="313">
        <f>SUMIFS(Adjustments!$G:$G,Adjustments!$H:$H,"2A",Adjustments!$I:$I,'Schedule 2A Adjustments'!$N$12,Adjustments!$J:$J,'Schedule 2A Adjustments'!A62)</f>
        <v>0</v>
      </c>
      <c r="P62" s="309">
        <f t="shared" si="3"/>
        <v>0</v>
      </c>
      <c r="Q62" s="68">
        <f>IFERROR(N62*'As-Filed Schedule 1'!$E$103,0)</f>
        <v>0</v>
      </c>
      <c r="R62" s="310">
        <f>IFERROR(P62*'Adjusted Schedule 1'!$E$104,0)</f>
        <v>0</v>
      </c>
      <c r="S62" s="68">
        <f t="shared" si="8"/>
        <v>0</v>
      </c>
      <c r="T62" s="310">
        <f t="shared" si="4"/>
        <v>0</v>
      </c>
      <c r="V62" s="120">
        <f>'As-Filed Schedule 2A'!N62</f>
        <v>0</v>
      </c>
      <c r="W62" s="313">
        <f>SUMIFS(Adjustments!$G:$G,Adjustments!$H:$H,"2A",Adjustments!$I:$I,'Schedule 2A Adjustments'!$V$12,Adjustments!$J:$J,'Schedule 2A Adjustments'!A62)</f>
        <v>0</v>
      </c>
      <c r="X62" s="326">
        <f t="shared" si="5"/>
        <v>0</v>
      </c>
      <c r="Y62" s="120">
        <f>'As-Filed Schedule 2A'!O62</f>
        <v>0</v>
      </c>
      <c r="Z62" s="313">
        <f>SUMIFS(Adjustments!$G:$G,Adjustments!$H:$H,"2A",Adjustments!$I:$I,'Schedule 2A Adjustments'!$Y$12,Adjustments!$J:$J,'Schedule 2A Adjustments'!A62)</f>
        <v>0</v>
      </c>
      <c r="AA62" s="326">
        <f t="shared" si="6"/>
        <v>0</v>
      </c>
    </row>
    <row r="63" spans="1:27" x14ac:dyDescent="0.35">
      <c r="A63" s="24">
        <v>49</v>
      </c>
      <c r="B63" s="507" t="str">
        <f>IF('As-Filed Schedule 2A'!B63:D63=0,"",'As-Filed Schedule 2A'!B63:D63)</f>
        <v/>
      </c>
      <c r="C63" s="507"/>
      <c r="D63" s="507"/>
      <c r="F63" s="117">
        <f>'As-Filed Schedule 2A'!F63</f>
        <v>0</v>
      </c>
      <c r="G63" s="313">
        <f>SUMIFS(Adjustments!$G:$G,Adjustments!$H:$H,"2A",Adjustments!$I:$I,'Schedule 2A Adjustments'!$F$12,Adjustments!$J:$J,'Schedule 2A Adjustments'!A63)</f>
        <v>0</v>
      </c>
      <c r="H63" s="309">
        <f t="shared" si="1"/>
        <v>0</v>
      </c>
      <c r="I63" s="68">
        <f>IFERROR(F63*'As-Filed Schedule 1'!$E$103,0)</f>
        <v>0</v>
      </c>
      <c r="J63" s="310">
        <f>IFERROR(H63*'Adjusted Schedule 1'!$E$104,0)</f>
        <v>0</v>
      </c>
      <c r="K63" s="68">
        <f t="shared" si="7"/>
        <v>0</v>
      </c>
      <c r="L63" s="310">
        <f t="shared" si="2"/>
        <v>0</v>
      </c>
      <c r="N63" s="117">
        <f>'As-Filed Schedule 2A'!J63</f>
        <v>0</v>
      </c>
      <c r="O63" s="313">
        <f>SUMIFS(Adjustments!$G:$G,Adjustments!$H:$H,"2A",Adjustments!$I:$I,'Schedule 2A Adjustments'!$N$12,Adjustments!$J:$J,'Schedule 2A Adjustments'!A63)</f>
        <v>0</v>
      </c>
      <c r="P63" s="309">
        <f t="shared" si="3"/>
        <v>0</v>
      </c>
      <c r="Q63" s="68">
        <f>IFERROR(N63*'As-Filed Schedule 1'!$E$103,0)</f>
        <v>0</v>
      </c>
      <c r="R63" s="310">
        <f>IFERROR(P63*'Adjusted Schedule 1'!$E$104,0)</f>
        <v>0</v>
      </c>
      <c r="S63" s="68">
        <f t="shared" si="8"/>
        <v>0</v>
      </c>
      <c r="T63" s="310">
        <f t="shared" si="4"/>
        <v>0</v>
      </c>
      <c r="V63" s="120">
        <f>'As-Filed Schedule 2A'!N63</f>
        <v>0</v>
      </c>
      <c r="W63" s="313">
        <f>SUMIFS(Adjustments!$G:$G,Adjustments!$H:$H,"2A",Adjustments!$I:$I,'Schedule 2A Adjustments'!$V$12,Adjustments!$J:$J,'Schedule 2A Adjustments'!A63)</f>
        <v>0</v>
      </c>
      <c r="X63" s="326">
        <f t="shared" si="5"/>
        <v>0</v>
      </c>
      <c r="Y63" s="120">
        <f>'As-Filed Schedule 2A'!O63</f>
        <v>0</v>
      </c>
      <c r="Z63" s="313">
        <f>SUMIFS(Adjustments!$G:$G,Adjustments!$H:$H,"2A",Adjustments!$I:$I,'Schedule 2A Adjustments'!$Y$12,Adjustments!$J:$J,'Schedule 2A Adjustments'!A63)</f>
        <v>0</v>
      </c>
      <c r="AA63" s="326">
        <f t="shared" si="6"/>
        <v>0</v>
      </c>
    </row>
    <row r="64" spans="1:27" x14ac:dyDescent="0.35">
      <c r="A64" s="24">
        <v>50</v>
      </c>
      <c r="B64" s="507" t="str">
        <f>IF('As-Filed Schedule 2A'!B64:D64=0,"",'As-Filed Schedule 2A'!B64:D64)</f>
        <v/>
      </c>
      <c r="C64" s="507"/>
      <c r="D64" s="507"/>
      <c r="F64" s="117">
        <f>'As-Filed Schedule 2A'!F64</f>
        <v>0</v>
      </c>
      <c r="G64" s="313">
        <f>SUMIFS(Adjustments!$G:$G,Adjustments!$H:$H,"2A",Adjustments!$I:$I,'Schedule 2A Adjustments'!$F$12,Adjustments!$J:$J,'Schedule 2A Adjustments'!A64)</f>
        <v>0</v>
      </c>
      <c r="H64" s="309">
        <f t="shared" si="1"/>
        <v>0</v>
      </c>
      <c r="I64" s="68">
        <f>IFERROR(F64*'As-Filed Schedule 1'!$E$103,0)</f>
        <v>0</v>
      </c>
      <c r="J64" s="310">
        <f>IFERROR(H64*'Adjusted Schedule 1'!$E$104,0)</f>
        <v>0</v>
      </c>
      <c r="K64" s="68">
        <f t="shared" si="7"/>
        <v>0</v>
      </c>
      <c r="L64" s="310">
        <f t="shared" si="2"/>
        <v>0</v>
      </c>
      <c r="N64" s="117">
        <f>'As-Filed Schedule 2A'!J64</f>
        <v>0</v>
      </c>
      <c r="O64" s="313">
        <f>SUMIFS(Adjustments!$G:$G,Adjustments!$H:$H,"2A",Adjustments!$I:$I,'Schedule 2A Adjustments'!$N$12,Adjustments!$J:$J,'Schedule 2A Adjustments'!A64)</f>
        <v>0</v>
      </c>
      <c r="P64" s="309">
        <f t="shared" si="3"/>
        <v>0</v>
      </c>
      <c r="Q64" s="68">
        <f>IFERROR(N64*'As-Filed Schedule 1'!$E$103,0)</f>
        <v>0</v>
      </c>
      <c r="R64" s="310">
        <f>IFERROR(P64*'Adjusted Schedule 1'!$E$104,0)</f>
        <v>0</v>
      </c>
      <c r="S64" s="68">
        <f t="shared" si="8"/>
        <v>0</v>
      </c>
      <c r="T64" s="310">
        <f t="shared" si="4"/>
        <v>0</v>
      </c>
      <c r="V64" s="120">
        <f>'As-Filed Schedule 2A'!N64</f>
        <v>0</v>
      </c>
      <c r="W64" s="313">
        <f>SUMIFS(Adjustments!$G:$G,Adjustments!$H:$H,"2A",Adjustments!$I:$I,'Schedule 2A Adjustments'!$V$12,Adjustments!$J:$J,'Schedule 2A Adjustments'!A64)</f>
        <v>0</v>
      </c>
      <c r="X64" s="326">
        <f t="shared" si="5"/>
        <v>0</v>
      </c>
      <c r="Y64" s="120">
        <f>'As-Filed Schedule 2A'!O64</f>
        <v>0</v>
      </c>
      <c r="Z64" s="313">
        <f>SUMIFS(Adjustments!$G:$G,Adjustments!$H:$H,"2A",Adjustments!$I:$I,'Schedule 2A Adjustments'!$Y$12,Adjustments!$J:$J,'Schedule 2A Adjustments'!A64)</f>
        <v>0</v>
      </c>
      <c r="AA64" s="326">
        <f t="shared" si="6"/>
        <v>0</v>
      </c>
    </row>
    <row r="65" spans="1:27" x14ac:dyDescent="0.35">
      <c r="A65" s="24">
        <v>51</v>
      </c>
      <c r="B65" s="507" t="str">
        <f>IF('As-Filed Schedule 2A'!B65:D65=0,"",'As-Filed Schedule 2A'!B65:D65)</f>
        <v/>
      </c>
      <c r="C65" s="507"/>
      <c r="D65" s="507"/>
      <c r="F65" s="117">
        <f>'As-Filed Schedule 2A'!F65</f>
        <v>0</v>
      </c>
      <c r="G65" s="313">
        <f>SUMIFS(Adjustments!$G:$G,Adjustments!$H:$H,"2A",Adjustments!$I:$I,'Schedule 2A Adjustments'!$F$12,Adjustments!$J:$J,'Schedule 2A Adjustments'!A65)</f>
        <v>0</v>
      </c>
      <c r="H65" s="309">
        <f t="shared" si="1"/>
        <v>0</v>
      </c>
      <c r="I65" s="68">
        <f>IFERROR(F65*'As-Filed Schedule 1'!$E$103,0)</f>
        <v>0</v>
      </c>
      <c r="J65" s="310">
        <f>IFERROR(H65*'Adjusted Schedule 1'!$E$104,0)</f>
        <v>0</v>
      </c>
      <c r="K65" s="68">
        <f t="shared" si="7"/>
        <v>0</v>
      </c>
      <c r="L65" s="310">
        <f t="shared" si="2"/>
        <v>0</v>
      </c>
      <c r="N65" s="117">
        <f>'As-Filed Schedule 2A'!J65</f>
        <v>0</v>
      </c>
      <c r="O65" s="313">
        <f>SUMIFS(Adjustments!$G:$G,Adjustments!$H:$H,"2A",Adjustments!$I:$I,'Schedule 2A Adjustments'!$N$12,Adjustments!$J:$J,'Schedule 2A Adjustments'!A65)</f>
        <v>0</v>
      </c>
      <c r="P65" s="309">
        <f t="shared" si="3"/>
        <v>0</v>
      </c>
      <c r="Q65" s="68">
        <f>IFERROR(N65*'As-Filed Schedule 1'!$E$103,0)</f>
        <v>0</v>
      </c>
      <c r="R65" s="310">
        <f>IFERROR(P65*'Adjusted Schedule 1'!$E$104,0)</f>
        <v>0</v>
      </c>
      <c r="S65" s="68">
        <f t="shared" si="8"/>
        <v>0</v>
      </c>
      <c r="T65" s="310">
        <f t="shared" si="4"/>
        <v>0</v>
      </c>
      <c r="V65" s="120">
        <f>'As-Filed Schedule 2A'!N65</f>
        <v>0</v>
      </c>
      <c r="W65" s="313">
        <f>SUMIFS(Adjustments!$G:$G,Adjustments!$H:$H,"2A",Adjustments!$I:$I,'Schedule 2A Adjustments'!$V$12,Adjustments!$J:$J,'Schedule 2A Adjustments'!A65)</f>
        <v>0</v>
      </c>
      <c r="X65" s="326">
        <f t="shared" si="5"/>
        <v>0</v>
      </c>
      <c r="Y65" s="120">
        <f>'As-Filed Schedule 2A'!O65</f>
        <v>0</v>
      </c>
      <c r="Z65" s="313">
        <f>SUMIFS(Adjustments!$G:$G,Adjustments!$H:$H,"2A",Adjustments!$I:$I,'Schedule 2A Adjustments'!$Y$12,Adjustments!$J:$J,'Schedule 2A Adjustments'!A65)</f>
        <v>0</v>
      </c>
      <c r="AA65" s="326">
        <f t="shared" si="6"/>
        <v>0</v>
      </c>
    </row>
    <row r="66" spans="1:27" x14ac:dyDescent="0.35">
      <c r="A66" s="24">
        <v>52</v>
      </c>
      <c r="B66" s="507" t="str">
        <f>IF('As-Filed Schedule 2A'!B66:D66=0,"",'As-Filed Schedule 2A'!B66:D66)</f>
        <v/>
      </c>
      <c r="C66" s="507"/>
      <c r="D66" s="507"/>
      <c r="F66" s="117">
        <f>'As-Filed Schedule 2A'!F66</f>
        <v>0</v>
      </c>
      <c r="G66" s="313">
        <f>SUMIFS(Adjustments!$G:$G,Adjustments!$H:$H,"2A",Adjustments!$I:$I,'Schedule 2A Adjustments'!$F$12,Adjustments!$J:$J,'Schedule 2A Adjustments'!A66)</f>
        <v>0</v>
      </c>
      <c r="H66" s="309">
        <f t="shared" si="1"/>
        <v>0</v>
      </c>
      <c r="I66" s="68">
        <f>IFERROR(F66*'As-Filed Schedule 1'!$E$103,0)</f>
        <v>0</v>
      </c>
      <c r="J66" s="310">
        <f>IFERROR(H66*'Adjusted Schedule 1'!$E$104,0)</f>
        <v>0</v>
      </c>
      <c r="K66" s="68">
        <f t="shared" si="7"/>
        <v>0</v>
      </c>
      <c r="L66" s="310">
        <f t="shared" si="2"/>
        <v>0</v>
      </c>
      <c r="N66" s="117">
        <f>'As-Filed Schedule 2A'!J66</f>
        <v>0</v>
      </c>
      <c r="O66" s="313">
        <f>SUMIFS(Adjustments!$G:$G,Adjustments!$H:$H,"2A",Adjustments!$I:$I,'Schedule 2A Adjustments'!$N$12,Adjustments!$J:$J,'Schedule 2A Adjustments'!A66)</f>
        <v>0</v>
      </c>
      <c r="P66" s="309">
        <f t="shared" si="3"/>
        <v>0</v>
      </c>
      <c r="Q66" s="68">
        <f>IFERROR(N66*'As-Filed Schedule 1'!$E$103,0)</f>
        <v>0</v>
      </c>
      <c r="R66" s="310">
        <f>IFERROR(P66*'Adjusted Schedule 1'!$E$104,0)</f>
        <v>0</v>
      </c>
      <c r="S66" s="68">
        <f t="shared" si="8"/>
        <v>0</v>
      </c>
      <c r="T66" s="310">
        <f t="shared" si="4"/>
        <v>0</v>
      </c>
      <c r="V66" s="120">
        <f>'As-Filed Schedule 2A'!N66</f>
        <v>0</v>
      </c>
      <c r="W66" s="313">
        <f>SUMIFS(Adjustments!$G:$G,Adjustments!$H:$H,"2A",Adjustments!$I:$I,'Schedule 2A Adjustments'!$V$12,Adjustments!$J:$J,'Schedule 2A Adjustments'!A66)</f>
        <v>0</v>
      </c>
      <c r="X66" s="326">
        <f t="shared" si="5"/>
        <v>0</v>
      </c>
      <c r="Y66" s="120">
        <f>'As-Filed Schedule 2A'!O66</f>
        <v>0</v>
      </c>
      <c r="Z66" s="313">
        <f>SUMIFS(Adjustments!$G:$G,Adjustments!$H:$H,"2A",Adjustments!$I:$I,'Schedule 2A Adjustments'!$Y$12,Adjustments!$J:$J,'Schedule 2A Adjustments'!A66)</f>
        <v>0</v>
      </c>
      <c r="AA66" s="326">
        <f t="shared" si="6"/>
        <v>0</v>
      </c>
    </row>
    <row r="67" spans="1:27" x14ac:dyDescent="0.35">
      <c r="A67" s="24">
        <v>53</v>
      </c>
      <c r="B67" s="507" t="str">
        <f>IF('As-Filed Schedule 2A'!B67:D67=0,"",'As-Filed Schedule 2A'!B67:D67)</f>
        <v/>
      </c>
      <c r="C67" s="507"/>
      <c r="D67" s="507"/>
      <c r="F67" s="117">
        <f>'As-Filed Schedule 2A'!F67</f>
        <v>0</v>
      </c>
      <c r="G67" s="313">
        <f>SUMIFS(Adjustments!$G:$G,Adjustments!$H:$H,"2A",Adjustments!$I:$I,'Schedule 2A Adjustments'!$F$12,Adjustments!$J:$J,'Schedule 2A Adjustments'!A67)</f>
        <v>0</v>
      </c>
      <c r="H67" s="309">
        <f t="shared" si="1"/>
        <v>0</v>
      </c>
      <c r="I67" s="68">
        <f>IFERROR(F67*'As-Filed Schedule 1'!$E$103,0)</f>
        <v>0</v>
      </c>
      <c r="J67" s="310">
        <f>IFERROR(H67*'Adjusted Schedule 1'!$E$104,0)</f>
        <v>0</v>
      </c>
      <c r="K67" s="68">
        <f t="shared" si="7"/>
        <v>0</v>
      </c>
      <c r="L67" s="310">
        <f t="shared" si="2"/>
        <v>0</v>
      </c>
      <c r="N67" s="117">
        <f>'As-Filed Schedule 2A'!J67</f>
        <v>0</v>
      </c>
      <c r="O67" s="313">
        <f>SUMIFS(Adjustments!$G:$G,Adjustments!$H:$H,"2A",Adjustments!$I:$I,'Schedule 2A Adjustments'!$N$12,Adjustments!$J:$J,'Schedule 2A Adjustments'!A67)</f>
        <v>0</v>
      </c>
      <c r="P67" s="309">
        <f t="shared" si="3"/>
        <v>0</v>
      </c>
      <c r="Q67" s="68">
        <f>IFERROR(N67*'As-Filed Schedule 1'!$E$103,0)</f>
        <v>0</v>
      </c>
      <c r="R67" s="310">
        <f>IFERROR(P67*'Adjusted Schedule 1'!$E$104,0)</f>
        <v>0</v>
      </c>
      <c r="S67" s="68">
        <f t="shared" si="8"/>
        <v>0</v>
      </c>
      <c r="T67" s="310">
        <f t="shared" si="4"/>
        <v>0</v>
      </c>
      <c r="V67" s="120">
        <f>'As-Filed Schedule 2A'!N67</f>
        <v>0</v>
      </c>
      <c r="W67" s="313">
        <f>SUMIFS(Adjustments!$G:$G,Adjustments!$H:$H,"2A",Adjustments!$I:$I,'Schedule 2A Adjustments'!$V$12,Adjustments!$J:$J,'Schedule 2A Adjustments'!A67)</f>
        <v>0</v>
      </c>
      <c r="X67" s="326">
        <f t="shared" si="5"/>
        <v>0</v>
      </c>
      <c r="Y67" s="120">
        <f>'As-Filed Schedule 2A'!O67</f>
        <v>0</v>
      </c>
      <c r="Z67" s="313">
        <f>SUMIFS(Adjustments!$G:$G,Adjustments!$H:$H,"2A",Adjustments!$I:$I,'Schedule 2A Adjustments'!$Y$12,Adjustments!$J:$J,'Schedule 2A Adjustments'!A67)</f>
        <v>0</v>
      </c>
      <c r="AA67" s="326">
        <f t="shared" si="6"/>
        <v>0</v>
      </c>
    </row>
    <row r="68" spans="1:27" x14ac:dyDescent="0.35">
      <c r="A68" s="24">
        <v>54</v>
      </c>
      <c r="B68" s="507" t="str">
        <f>IF('As-Filed Schedule 2A'!B68:D68=0,"",'As-Filed Schedule 2A'!B68:D68)</f>
        <v/>
      </c>
      <c r="C68" s="507"/>
      <c r="D68" s="507"/>
      <c r="F68" s="117">
        <f>'As-Filed Schedule 2A'!F68</f>
        <v>0</v>
      </c>
      <c r="G68" s="313">
        <f>SUMIFS(Adjustments!$G:$G,Adjustments!$H:$H,"2A",Adjustments!$I:$I,'Schedule 2A Adjustments'!$F$12,Adjustments!$J:$J,'Schedule 2A Adjustments'!A68)</f>
        <v>0</v>
      </c>
      <c r="H68" s="309">
        <f t="shared" si="1"/>
        <v>0</v>
      </c>
      <c r="I68" s="68">
        <f>IFERROR(F68*'As-Filed Schedule 1'!$E$103,0)</f>
        <v>0</v>
      </c>
      <c r="J68" s="310">
        <f>IFERROR(H68*'Adjusted Schedule 1'!$E$104,0)</f>
        <v>0</v>
      </c>
      <c r="K68" s="68">
        <f t="shared" si="7"/>
        <v>0</v>
      </c>
      <c r="L68" s="310">
        <f t="shared" si="2"/>
        <v>0</v>
      </c>
      <c r="N68" s="117">
        <f>'As-Filed Schedule 2A'!J68</f>
        <v>0</v>
      </c>
      <c r="O68" s="313">
        <f>SUMIFS(Adjustments!$G:$G,Adjustments!$H:$H,"2A",Adjustments!$I:$I,'Schedule 2A Adjustments'!$N$12,Adjustments!$J:$J,'Schedule 2A Adjustments'!A68)</f>
        <v>0</v>
      </c>
      <c r="P68" s="309">
        <f t="shared" si="3"/>
        <v>0</v>
      </c>
      <c r="Q68" s="68">
        <f>IFERROR(N68*'As-Filed Schedule 1'!$E$103,0)</f>
        <v>0</v>
      </c>
      <c r="R68" s="310">
        <f>IFERROR(P68*'Adjusted Schedule 1'!$E$104,0)</f>
        <v>0</v>
      </c>
      <c r="S68" s="68">
        <f t="shared" si="8"/>
        <v>0</v>
      </c>
      <c r="T68" s="310">
        <f t="shared" si="4"/>
        <v>0</v>
      </c>
      <c r="V68" s="120">
        <f>'As-Filed Schedule 2A'!N68</f>
        <v>0</v>
      </c>
      <c r="W68" s="313">
        <f>SUMIFS(Adjustments!$G:$G,Adjustments!$H:$H,"2A",Adjustments!$I:$I,'Schedule 2A Adjustments'!$V$12,Adjustments!$J:$J,'Schedule 2A Adjustments'!A68)</f>
        <v>0</v>
      </c>
      <c r="X68" s="326">
        <f t="shared" si="5"/>
        <v>0</v>
      </c>
      <c r="Y68" s="120">
        <f>'As-Filed Schedule 2A'!O68</f>
        <v>0</v>
      </c>
      <c r="Z68" s="313">
        <f>SUMIFS(Adjustments!$G:$G,Adjustments!$H:$H,"2A",Adjustments!$I:$I,'Schedule 2A Adjustments'!$Y$12,Adjustments!$J:$J,'Schedule 2A Adjustments'!A68)</f>
        <v>0</v>
      </c>
      <c r="AA68" s="326">
        <f t="shared" si="6"/>
        <v>0</v>
      </c>
    </row>
    <row r="69" spans="1:27" x14ac:dyDescent="0.35">
      <c r="A69" s="24">
        <v>55</v>
      </c>
      <c r="B69" s="507" t="str">
        <f>IF('As-Filed Schedule 2A'!B69:D69=0,"",'As-Filed Schedule 2A'!B69:D69)</f>
        <v/>
      </c>
      <c r="C69" s="507"/>
      <c r="D69" s="507"/>
      <c r="F69" s="117">
        <f>'As-Filed Schedule 2A'!F69</f>
        <v>0</v>
      </c>
      <c r="G69" s="313">
        <f>SUMIFS(Adjustments!$G:$G,Adjustments!$H:$H,"2A",Adjustments!$I:$I,'Schedule 2A Adjustments'!$F$12,Adjustments!$J:$J,'Schedule 2A Adjustments'!A69)</f>
        <v>0</v>
      </c>
      <c r="H69" s="309">
        <f t="shared" si="1"/>
        <v>0</v>
      </c>
      <c r="I69" s="68">
        <f>IFERROR(F69*'As-Filed Schedule 1'!$E$103,0)</f>
        <v>0</v>
      </c>
      <c r="J69" s="310">
        <f>IFERROR(H69*'Adjusted Schedule 1'!$E$104,0)</f>
        <v>0</v>
      </c>
      <c r="K69" s="68">
        <f t="shared" si="7"/>
        <v>0</v>
      </c>
      <c r="L69" s="310">
        <f t="shared" si="2"/>
        <v>0</v>
      </c>
      <c r="N69" s="117">
        <f>'As-Filed Schedule 2A'!J69</f>
        <v>0</v>
      </c>
      <c r="O69" s="313">
        <f>SUMIFS(Adjustments!$G:$G,Adjustments!$H:$H,"2A",Adjustments!$I:$I,'Schedule 2A Adjustments'!$N$12,Adjustments!$J:$J,'Schedule 2A Adjustments'!A69)</f>
        <v>0</v>
      </c>
      <c r="P69" s="309">
        <f t="shared" si="3"/>
        <v>0</v>
      </c>
      <c r="Q69" s="68">
        <f>IFERROR(N69*'As-Filed Schedule 1'!$E$103,0)</f>
        <v>0</v>
      </c>
      <c r="R69" s="310">
        <f>IFERROR(P69*'Adjusted Schedule 1'!$E$104,0)</f>
        <v>0</v>
      </c>
      <c r="S69" s="68">
        <f t="shared" si="8"/>
        <v>0</v>
      </c>
      <c r="T69" s="310">
        <f t="shared" si="4"/>
        <v>0</v>
      </c>
      <c r="V69" s="120">
        <f>'As-Filed Schedule 2A'!N69</f>
        <v>0</v>
      </c>
      <c r="W69" s="313">
        <f>SUMIFS(Adjustments!$G:$G,Adjustments!$H:$H,"2A",Adjustments!$I:$I,'Schedule 2A Adjustments'!$V$12,Adjustments!$J:$J,'Schedule 2A Adjustments'!A69)</f>
        <v>0</v>
      </c>
      <c r="X69" s="326">
        <f t="shared" si="5"/>
        <v>0</v>
      </c>
      <c r="Y69" s="120">
        <f>'As-Filed Schedule 2A'!O69</f>
        <v>0</v>
      </c>
      <c r="Z69" s="313">
        <f>SUMIFS(Adjustments!$G:$G,Adjustments!$H:$H,"2A",Adjustments!$I:$I,'Schedule 2A Adjustments'!$Y$12,Adjustments!$J:$J,'Schedule 2A Adjustments'!A69)</f>
        <v>0</v>
      </c>
      <c r="AA69" s="326">
        <f t="shared" si="6"/>
        <v>0</v>
      </c>
    </row>
    <row r="70" spans="1:27" x14ac:dyDescent="0.35">
      <c r="A70" s="24">
        <v>56</v>
      </c>
      <c r="B70" s="507" t="str">
        <f>IF('As-Filed Schedule 2A'!B70:D70=0,"",'As-Filed Schedule 2A'!B70:D70)</f>
        <v/>
      </c>
      <c r="C70" s="507"/>
      <c r="D70" s="507"/>
      <c r="F70" s="117">
        <f>'As-Filed Schedule 2A'!F70</f>
        <v>0</v>
      </c>
      <c r="G70" s="313">
        <f>SUMIFS(Adjustments!$G:$G,Adjustments!$H:$H,"2A",Adjustments!$I:$I,'Schedule 2A Adjustments'!$F$12,Adjustments!$J:$J,'Schedule 2A Adjustments'!A70)</f>
        <v>0</v>
      </c>
      <c r="H70" s="309">
        <f t="shared" si="1"/>
        <v>0</v>
      </c>
      <c r="I70" s="68">
        <f>IFERROR(F70*'As-Filed Schedule 1'!$E$103,0)</f>
        <v>0</v>
      </c>
      <c r="J70" s="310">
        <f>IFERROR(H70*'Adjusted Schedule 1'!$E$104,0)</f>
        <v>0</v>
      </c>
      <c r="K70" s="68">
        <f t="shared" si="7"/>
        <v>0</v>
      </c>
      <c r="L70" s="310">
        <f t="shared" si="2"/>
        <v>0</v>
      </c>
      <c r="N70" s="117">
        <f>'As-Filed Schedule 2A'!J70</f>
        <v>0</v>
      </c>
      <c r="O70" s="313">
        <f>SUMIFS(Adjustments!$G:$G,Adjustments!$H:$H,"2A",Adjustments!$I:$I,'Schedule 2A Adjustments'!$N$12,Adjustments!$J:$J,'Schedule 2A Adjustments'!A70)</f>
        <v>0</v>
      </c>
      <c r="P70" s="309">
        <f t="shared" si="3"/>
        <v>0</v>
      </c>
      <c r="Q70" s="68">
        <f>IFERROR(N70*'As-Filed Schedule 1'!$E$103,0)</f>
        <v>0</v>
      </c>
      <c r="R70" s="310">
        <f>IFERROR(P70*'Adjusted Schedule 1'!$E$104,0)</f>
        <v>0</v>
      </c>
      <c r="S70" s="68">
        <f t="shared" si="8"/>
        <v>0</v>
      </c>
      <c r="T70" s="310">
        <f t="shared" si="4"/>
        <v>0</v>
      </c>
      <c r="V70" s="120">
        <f>'As-Filed Schedule 2A'!N70</f>
        <v>0</v>
      </c>
      <c r="W70" s="313">
        <f>SUMIFS(Adjustments!$G:$G,Adjustments!$H:$H,"2A",Adjustments!$I:$I,'Schedule 2A Adjustments'!$V$12,Adjustments!$J:$J,'Schedule 2A Adjustments'!A70)</f>
        <v>0</v>
      </c>
      <c r="X70" s="326">
        <f t="shared" si="5"/>
        <v>0</v>
      </c>
      <c r="Y70" s="120">
        <f>'As-Filed Schedule 2A'!O70</f>
        <v>0</v>
      </c>
      <c r="Z70" s="313">
        <f>SUMIFS(Adjustments!$G:$G,Adjustments!$H:$H,"2A",Adjustments!$I:$I,'Schedule 2A Adjustments'!$Y$12,Adjustments!$J:$J,'Schedule 2A Adjustments'!A70)</f>
        <v>0</v>
      </c>
      <c r="AA70" s="326">
        <f t="shared" si="6"/>
        <v>0</v>
      </c>
    </row>
    <row r="71" spans="1:27" x14ac:dyDescent="0.35">
      <c r="A71" s="24">
        <v>57</v>
      </c>
      <c r="B71" s="507" t="str">
        <f>IF('As-Filed Schedule 2A'!B71:D71=0,"",'As-Filed Schedule 2A'!B71:D71)</f>
        <v/>
      </c>
      <c r="C71" s="507"/>
      <c r="D71" s="507"/>
      <c r="F71" s="117">
        <f>'As-Filed Schedule 2A'!F71</f>
        <v>0</v>
      </c>
      <c r="G71" s="313">
        <f>SUMIFS(Adjustments!$G:$G,Adjustments!$H:$H,"2A",Adjustments!$I:$I,'Schedule 2A Adjustments'!$F$12,Adjustments!$J:$J,'Schedule 2A Adjustments'!A71)</f>
        <v>0</v>
      </c>
      <c r="H71" s="309">
        <f t="shared" si="1"/>
        <v>0</v>
      </c>
      <c r="I71" s="68">
        <f>IFERROR(F71*'As-Filed Schedule 1'!$E$103,0)</f>
        <v>0</v>
      </c>
      <c r="J71" s="310">
        <f>IFERROR(H71*'Adjusted Schedule 1'!$E$104,0)</f>
        <v>0</v>
      </c>
      <c r="K71" s="68">
        <f t="shared" si="7"/>
        <v>0</v>
      </c>
      <c r="L71" s="310">
        <f t="shared" si="2"/>
        <v>0</v>
      </c>
      <c r="N71" s="117">
        <f>'As-Filed Schedule 2A'!J71</f>
        <v>0</v>
      </c>
      <c r="O71" s="313">
        <f>SUMIFS(Adjustments!$G:$G,Adjustments!$H:$H,"2A",Adjustments!$I:$I,'Schedule 2A Adjustments'!$N$12,Adjustments!$J:$J,'Schedule 2A Adjustments'!A71)</f>
        <v>0</v>
      </c>
      <c r="P71" s="309">
        <f t="shared" si="3"/>
        <v>0</v>
      </c>
      <c r="Q71" s="68">
        <f>IFERROR(N71*'As-Filed Schedule 1'!$E$103,0)</f>
        <v>0</v>
      </c>
      <c r="R71" s="310">
        <f>IFERROR(P71*'Adjusted Schedule 1'!$E$104,0)</f>
        <v>0</v>
      </c>
      <c r="S71" s="68">
        <f t="shared" si="8"/>
        <v>0</v>
      </c>
      <c r="T71" s="310">
        <f t="shared" si="4"/>
        <v>0</v>
      </c>
      <c r="V71" s="120">
        <f>'As-Filed Schedule 2A'!N71</f>
        <v>0</v>
      </c>
      <c r="W71" s="313">
        <f>SUMIFS(Adjustments!$G:$G,Adjustments!$H:$H,"2A",Adjustments!$I:$I,'Schedule 2A Adjustments'!$V$12,Adjustments!$J:$J,'Schedule 2A Adjustments'!A71)</f>
        <v>0</v>
      </c>
      <c r="X71" s="326">
        <f t="shared" si="5"/>
        <v>0</v>
      </c>
      <c r="Y71" s="120">
        <f>'As-Filed Schedule 2A'!O71</f>
        <v>0</v>
      </c>
      <c r="Z71" s="313">
        <f>SUMIFS(Adjustments!$G:$G,Adjustments!$H:$H,"2A",Adjustments!$I:$I,'Schedule 2A Adjustments'!$Y$12,Adjustments!$J:$J,'Schedule 2A Adjustments'!A71)</f>
        <v>0</v>
      </c>
      <c r="AA71" s="326">
        <f t="shared" si="6"/>
        <v>0</v>
      </c>
    </row>
    <row r="72" spans="1:27" x14ac:dyDescent="0.35">
      <c r="A72" s="24">
        <v>58</v>
      </c>
      <c r="B72" s="507" t="str">
        <f>IF('As-Filed Schedule 2A'!B72:D72=0,"",'As-Filed Schedule 2A'!B72:D72)</f>
        <v/>
      </c>
      <c r="C72" s="507"/>
      <c r="D72" s="507"/>
      <c r="F72" s="117">
        <f>'As-Filed Schedule 2A'!F72</f>
        <v>0</v>
      </c>
      <c r="G72" s="313">
        <f>SUMIFS(Adjustments!$G:$G,Adjustments!$H:$H,"2A",Adjustments!$I:$I,'Schedule 2A Adjustments'!$F$12,Adjustments!$J:$J,'Schedule 2A Adjustments'!A72)</f>
        <v>0</v>
      </c>
      <c r="H72" s="309">
        <f t="shared" si="1"/>
        <v>0</v>
      </c>
      <c r="I72" s="68">
        <f>IFERROR(F72*'As-Filed Schedule 1'!$E$103,0)</f>
        <v>0</v>
      </c>
      <c r="J72" s="310">
        <f>IFERROR(H72*'Adjusted Schedule 1'!$E$104,0)</f>
        <v>0</v>
      </c>
      <c r="K72" s="68">
        <f t="shared" si="7"/>
        <v>0</v>
      </c>
      <c r="L72" s="310">
        <f t="shared" si="2"/>
        <v>0</v>
      </c>
      <c r="N72" s="117">
        <f>'As-Filed Schedule 2A'!J72</f>
        <v>0</v>
      </c>
      <c r="O72" s="313">
        <f>SUMIFS(Adjustments!$G:$G,Adjustments!$H:$H,"2A",Adjustments!$I:$I,'Schedule 2A Adjustments'!$N$12,Adjustments!$J:$J,'Schedule 2A Adjustments'!A72)</f>
        <v>0</v>
      </c>
      <c r="P72" s="309">
        <f t="shared" si="3"/>
        <v>0</v>
      </c>
      <c r="Q72" s="68">
        <f>IFERROR(N72*'As-Filed Schedule 1'!$E$103,0)</f>
        <v>0</v>
      </c>
      <c r="R72" s="310">
        <f>IFERROR(P72*'Adjusted Schedule 1'!$E$104,0)</f>
        <v>0</v>
      </c>
      <c r="S72" s="68">
        <f t="shared" si="8"/>
        <v>0</v>
      </c>
      <c r="T72" s="310">
        <f t="shared" si="4"/>
        <v>0</v>
      </c>
      <c r="V72" s="120">
        <f>'As-Filed Schedule 2A'!N72</f>
        <v>0</v>
      </c>
      <c r="W72" s="313">
        <f>SUMIFS(Adjustments!$G:$G,Adjustments!$H:$H,"2A",Adjustments!$I:$I,'Schedule 2A Adjustments'!$V$12,Adjustments!$J:$J,'Schedule 2A Adjustments'!A72)</f>
        <v>0</v>
      </c>
      <c r="X72" s="326">
        <f t="shared" si="5"/>
        <v>0</v>
      </c>
      <c r="Y72" s="120">
        <f>'As-Filed Schedule 2A'!O72</f>
        <v>0</v>
      </c>
      <c r="Z72" s="313">
        <f>SUMIFS(Adjustments!$G:$G,Adjustments!$H:$H,"2A",Adjustments!$I:$I,'Schedule 2A Adjustments'!$Y$12,Adjustments!$J:$J,'Schedule 2A Adjustments'!A72)</f>
        <v>0</v>
      </c>
      <c r="AA72" s="326">
        <f t="shared" si="6"/>
        <v>0</v>
      </c>
    </row>
    <row r="73" spans="1:27" x14ac:dyDescent="0.35">
      <c r="A73" s="24">
        <v>59</v>
      </c>
      <c r="F73" s="18">
        <f t="shared" ref="F73:L73" si="9">SUM(F15:F72)</f>
        <v>3189973.6069380082</v>
      </c>
      <c r="G73" s="320">
        <f t="shared" si="9"/>
        <v>0</v>
      </c>
      <c r="H73" s="311">
        <f t="shared" si="9"/>
        <v>3189973.6069380082</v>
      </c>
      <c r="I73" s="18">
        <f t="shared" si="9"/>
        <v>1435327.6033159853</v>
      </c>
      <c r="J73" s="311">
        <f t="shared" si="9"/>
        <v>1435327.6033159853</v>
      </c>
      <c r="K73" s="18">
        <f t="shared" si="9"/>
        <v>4625301.210253993</v>
      </c>
      <c r="L73" s="311">
        <f t="shared" si="9"/>
        <v>4625301.210253993</v>
      </c>
      <c r="N73" s="18">
        <f>SUM(N15:N72)</f>
        <v>245735.70928738636</v>
      </c>
      <c r="O73" s="320">
        <f t="shared" ref="O73:P73" si="10">SUM(O15:O72)</f>
        <v>0</v>
      </c>
      <c r="P73" s="311">
        <f t="shared" si="10"/>
        <v>245735.70928738636</v>
      </c>
      <c r="Q73" s="18">
        <f t="shared" ref="Q73" si="11">SUM(Q15:Q72)</f>
        <v>110568.70373268651</v>
      </c>
      <c r="R73" s="311">
        <f>SUM(R15:R72)</f>
        <v>110568.70373268651</v>
      </c>
      <c r="S73" s="18">
        <f>SUM(S15:S72)</f>
        <v>356304.41302007291</v>
      </c>
      <c r="T73" s="311">
        <f>SUM(T15:T72)</f>
        <v>356304.41302007291</v>
      </c>
      <c r="Y73" s="83" t="s">
        <v>313</v>
      </c>
      <c r="Z73" s="331"/>
      <c r="AA73" s="328"/>
    </row>
    <row r="74" spans="1:27" ht="15" thickBot="1" x14ac:dyDescent="0.4">
      <c r="K74" s="37" t="s">
        <v>257</v>
      </c>
      <c r="L74" s="324" t="s">
        <v>257</v>
      </c>
      <c r="S74" s="37" t="s">
        <v>258</v>
      </c>
      <c r="T74" s="324" t="s">
        <v>258</v>
      </c>
    </row>
    <row r="75" spans="1:27" ht="16" thickBot="1" x14ac:dyDescent="0.4">
      <c r="A75" s="24">
        <v>60</v>
      </c>
      <c r="B75" s="143" t="s">
        <v>463</v>
      </c>
      <c r="C75" s="72"/>
      <c r="E75" s="72"/>
      <c r="F75" s="75">
        <f>K73+S73</f>
        <v>4981605.6232740656</v>
      </c>
      <c r="G75"/>
      <c r="H75" s="75">
        <f>L73+T73</f>
        <v>4981605.6232740656</v>
      </c>
      <c r="M75" s="74"/>
      <c r="N75" s="74"/>
      <c r="O75" s="332"/>
      <c r="P75" s="325"/>
      <c r="Q75" s="74"/>
      <c r="R75" s="325"/>
      <c r="S75" s="74"/>
      <c r="T75" s="325"/>
      <c r="V75" s="72"/>
      <c r="W75" s="330"/>
      <c r="X75" s="327"/>
      <c r="Y75" s="72"/>
      <c r="Z75" s="330"/>
      <c r="AA75" s="327"/>
    </row>
    <row r="76" spans="1:27" x14ac:dyDescent="0.35">
      <c r="F76" s="78" t="s">
        <v>500</v>
      </c>
      <c r="H76" s="308" t="s">
        <v>596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08984375" defaultRowHeight="14.5" x14ac:dyDescent="0.35"/>
  <cols>
    <col min="1" max="1" width="9.54296875" customWidth="1"/>
    <col min="2" max="2" width="16" customWidth="1"/>
    <col min="3" max="3" width="22.5429687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4.453125" style="261" customWidth="1"/>
    <col min="24" max="24" width="12.089843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4.9" customHeight="1" x14ac:dyDescent="0.5">
      <c r="A3" s="488" t="s">
        <v>755</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624</v>
      </c>
      <c r="C8" s="1"/>
      <c r="F8" s="119" t="str">
        <f>'As-Filed Schedule 2B'!F8</f>
        <v>Yes</v>
      </c>
      <c r="G8" s="41" t="s">
        <v>259</v>
      </c>
      <c r="J8" s="335"/>
    </row>
    <row r="10" spans="1:27" x14ac:dyDescent="0.35">
      <c r="A10" s="1" t="s">
        <v>254</v>
      </c>
      <c r="B10" s="1" t="s">
        <v>256</v>
      </c>
      <c r="C10" s="1"/>
    </row>
    <row r="11" spans="1:27" x14ac:dyDescent="0.35">
      <c r="B11" s="333" t="s">
        <v>598</v>
      </c>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11" t="s">
        <v>612</v>
      </c>
      <c r="C13" s="512"/>
      <c r="D13" s="513"/>
      <c r="F13" s="505" t="s">
        <v>261</v>
      </c>
      <c r="G13" s="510"/>
      <c r="H13" s="510"/>
      <c r="I13" s="510"/>
      <c r="J13" s="510"/>
      <c r="K13" s="510"/>
      <c r="L13" s="506"/>
      <c r="N13" s="505" t="s">
        <v>262</v>
      </c>
      <c r="O13" s="510"/>
      <c r="P13" s="510"/>
      <c r="Q13" s="510"/>
      <c r="R13" s="510"/>
      <c r="S13" s="510"/>
      <c r="T13" s="506"/>
      <c r="V13" s="508" t="s">
        <v>250</v>
      </c>
      <c r="W13" s="563" t="s">
        <v>620</v>
      </c>
      <c r="X13" s="565" t="s">
        <v>621</v>
      </c>
      <c r="Y13" s="504" t="s">
        <v>312</v>
      </c>
      <c r="Z13" s="567" t="s">
        <v>622</v>
      </c>
      <c r="AA13" s="568" t="s">
        <v>625</v>
      </c>
    </row>
    <row r="14" spans="1:27" ht="55.5" customHeight="1" x14ac:dyDescent="0.35">
      <c r="B14" s="514"/>
      <c r="C14" s="515"/>
      <c r="D14" s="516"/>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09"/>
      <c r="W14" s="564"/>
      <c r="X14" s="566"/>
      <c r="Y14" s="504"/>
      <c r="Z14" s="567"/>
      <c r="AA14" s="568"/>
    </row>
    <row r="15" spans="1:27" x14ac:dyDescent="0.35">
      <c r="A15" s="24">
        <v>1</v>
      </c>
      <c r="B15" s="507" t="str">
        <f>IF('As-Filed Schedule 2B'!B15:D15=0,"",'As-Filed Schedule 2B'!B15:D15)</f>
        <v>1881 - CENT CASE MANAGEMENT</v>
      </c>
      <c r="C15" s="507"/>
      <c r="D15" s="507"/>
      <c r="F15" s="117">
        <f>'As-Filed Schedule 2B'!F15</f>
        <v>1155736.29629058</v>
      </c>
      <c r="G15" s="313">
        <f>SUMIFS(Adjustments!$G:$G,Adjustments!$H:$H,"2B",Adjustments!$I:$I,'Schedule 2B Adjustments'!$F$12,Adjustments!$J:$J,'Schedule 2B Adjustments'!$A15)</f>
        <v>0</v>
      </c>
      <c r="H15" s="309">
        <f>SUM(F15:G15)</f>
        <v>1155736.29629058</v>
      </c>
      <c r="I15" s="181">
        <f>IFERROR(F15*'As-Filed Schedule 1'!$E$103,0)</f>
        <v>520023.17655924388</v>
      </c>
      <c r="J15" s="310">
        <f>IFERROR(H15*'Adjusted Schedule 1'!$E$104,0)</f>
        <v>520023.17655924388</v>
      </c>
      <c r="K15" s="181">
        <f>SUM(F15,I15)</f>
        <v>1675759.4728498238</v>
      </c>
      <c r="L15" s="310">
        <f>SUM(H15,J15)</f>
        <v>1675759.4728498238</v>
      </c>
      <c r="M15" s="100"/>
      <c r="N15" s="180">
        <f>'As-Filed Schedule 2B'!J15</f>
        <v>0</v>
      </c>
      <c r="O15" s="313">
        <f>SUMIFS(Adjustments!$G:$G,Adjustments!$H:$H,"2B",Adjustments!$I:$I,'Schedule 2B Adjustments'!$N$12,Adjustments!$J:$J,'Schedule 2B Adjustments'!$A15)</f>
        <v>0</v>
      </c>
      <c r="P15" s="309">
        <f>SUM(N15:O15)</f>
        <v>0</v>
      </c>
      <c r="Q15" s="181">
        <f>IFERROR(N15*'As-Filed Schedule 1'!$E$103,0)</f>
        <v>0</v>
      </c>
      <c r="R15" s="310">
        <f>IFERROR(P15*'Adjusted Schedule 1'!$E$104,0)</f>
        <v>0</v>
      </c>
      <c r="S15" s="68">
        <f>SUM(N15,Q15)</f>
        <v>0</v>
      </c>
      <c r="T15" s="310">
        <f>SUM(P15,R15)</f>
        <v>0</v>
      </c>
      <c r="V15" s="120">
        <f>'As-Filed Schedule 2B'!N15</f>
        <v>10.213333333333333</v>
      </c>
      <c r="W15" s="313">
        <f>SUMIFS(Adjustments!$G:$G,Adjustments!$H:$H,"2B",Adjustments!$I:$I,'Schedule 2B Adjustments'!$V$12,Adjustments!$J:$J,'Schedule 2B Adjustments'!$A15)</f>
        <v>0</v>
      </c>
      <c r="X15" s="326">
        <f>SUM(V15:W15)</f>
        <v>10.213333333333333</v>
      </c>
      <c r="Y15" s="120">
        <f>'As-Filed Schedule 2B'!O15</f>
        <v>1296</v>
      </c>
      <c r="Z15" s="313">
        <f>SUMIFS(Adjustments!$G:$G,Adjustments!$H:$H,"2B",Adjustments!$I:$I,'Schedule 2B Adjustments'!$Y$12,Adjustments!$J:$J,'Schedule 2B Adjustments'!$A15)</f>
        <v>0</v>
      </c>
      <c r="AA15" s="326">
        <f>SUM(Y15:Z15)</f>
        <v>1296</v>
      </c>
    </row>
    <row r="16" spans="1:27" x14ac:dyDescent="0.35">
      <c r="A16" s="24">
        <v>2</v>
      </c>
      <c r="B16" s="507" t="str">
        <f>IF('As-Filed Schedule 2B'!B16:D16=0,"",'As-Filed Schedule 2B'!B16:D16)</f>
        <v xml:space="preserve">2565 - COMB SCHOOL BASED SERVICES  </v>
      </c>
      <c r="C16" s="507"/>
      <c r="D16" s="507"/>
      <c r="F16" s="117">
        <f>'As-Filed Schedule 2B'!F16</f>
        <v>1605799.9973329403</v>
      </c>
      <c r="G16" s="313">
        <f>SUMIFS(Adjustments!$G:$G,Adjustments!$H:$H,"2B",Adjustments!$I:$I,'Schedule 2B Adjustments'!$F$12,Adjustments!$J:$J,'Schedule 2B Adjustments'!$A16)</f>
        <v>0</v>
      </c>
      <c r="H16" s="309">
        <f t="shared" ref="H16:H72" si="0">SUM(F16:G16)</f>
        <v>1605799.9973329403</v>
      </c>
      <c r="I16" s="68">
        <f>IFERROR(F16*'As-Filed Schedule 1'!$E$103,0)</f>
        <v>722529.19477571594</v>
      </c>
      <c r="J16" s="310">
        <f>IFERROR(H16*'Adjusted Schedule 1'!$E$104,0)</f>
        <v>722529.19477571594</v>
      </c>
      <c r="K16" s="181">
        <f t="shared" ref="K16:K72" si="1">SUM(F16,I16)</f>
        <v>2328329.1921086563</v>
      </c>
      <c r="L16" s="310">
        <f>SUM(H16,J16)</f>
        <v>2328329.1921086563</v>
      </c>
      <c r="N16" s="180">
        <f>'As-Filed Schedule 2B'!J16</f>
        <v>0</v>
      </c>
      <c r="O16" s="313">
        <f>SUMIFS(Adjustments!$G:$G,Adjustments!$H:$H,"2B",Adjustments!$I:$I,'Schedule 2B Adjustments'!$N$12,Adjustments!$J:$J,'Schedule 2B Adjustments'!$A16)</f>
        <v>0</v>
      </c>
      <c r="P16" s="309">
        <f t="shared" ref="P16:P72" si="2">SUM(N16:O16)</f>
        <v>0</v>
      </c>
      <c r="Q16" s="68">
        <f>IFERROR(N16*'As-Filed Schedule 1'!$E$103,0)</f>
        <v>0</v>
      </c>
      <c r="R16" s="310">
        <f>IFERROR(P16*'Adjusted Schedule 1'!$E$104,0)</f>
        <v>0</v>
      </c>
      <c r="S16" s="68">
        <f t="shared" ref="S16:S72" si="3">SUM(N16,Q16)</f>
        <v>0</v>
      </c>
      <c r="T16" s="310">
        <f t="shared" ref="T16:T72" si="4">SUM(P16,R16)</f>
        <v>0</v>
      </c>
      <c r="V16" s="120">
        <f>'As-Filed Schedule 2B'!N16</f>
        <v>13.514166666666668</v>
      </c>
      <c r="W16" s="313">
        <f>SUMIFS(Adjustments!$G:$G,Adjustments!$H:$H,"2B",Adjustments!$I:$I,'Schedule 2B Adjustments'!$V$12,Adjustments!$J:$J,'Schedule 2B Adjustments'!$A16)</f>
        <v>0</v>
      </c>
      <c r="X16" s="326">
        <f t="shared" ref="X16:X72" si="5">SUM(V16:W16)</f>
        <v>13.514166666666668</v>
      </c>
      <c r="Y16" s="120">
        <f>'As-Filed Schedule 2B'!O16</f>
        <v>919</v>
      </c>
      <c r="Z16" s="313">
        <f>SUMIFS(Adjustments!$G:$G,Adjustments!$H:$H,"2B",Adjustments!$I:$I,'Schedule 2B Adjustments'!$Y$12,Adjustments!$J:$J,'Schedule 2B Adjustments'!$A16)</f>
        <v>0</v>
      </c>
      <c r="AA16" s="326">
        <f t="shared" ref="AA16:AA72" si="6">SUM(Y16:Z16)</f>
        <v>919</v>
      </c>
    </row>
    <row r="17" spans="1:27" x14ac:dyDescent="0.35">
      <c r="A17" s="24">
        <v>3</v>
      </c>
      <c r="B17" s="507" t="str">
        <f>IF('As-Filed Schedule 2B'!B17:D17=0,"",'As-Filed Schedule 2B'!B17:D17)</f>
        <v>2575 - COMB ARPA SLFRF</v>
      </c>
      <c r="C17" s="507"/>
      <c r="D17" s="507"/>
      <c r="F17" s="117">
        <f>'As-Filed Schedule 2B'!F17</f>
        <v>0</v>
      </c>
      <c r="G17" s="313">
        <f>SUMIFS(Adjustments!$G:$G,Adjustments!$H:$H,"2B",Adjustments!$I:$I,'Schedule 2B Adjustments'!$F$12,Adjustments!$J:$J,'Schedule 2B Adjustments'!$A17)</f>
        <v>0</v>
      </c>
      <c r="H17" s="309">
        <f t="shared" si="0"/>
        <v>0</v>
      </c>
      <c r="I17" s="68">
        <f>IFERROR(F17*'As-Filed Schedule 1'!$E$103,0)</f>
        <v>0</v>
      </c>
      <c r="J17" s="310">
        <f>IFERROR(H17*'Adjusted Schedule 1'!$E$104,0)</f>
        <v>0</v>
      </c>
      <c r="K17" s="181">
        <f t="shared" si="1"/>
        <v>0</v>
      </c>
      <c r="L17" s="310">
        <f>SUM(H17,J17)</f>
        <v>0</v>
      </c>
      <c r="N17" s="180">
        <f>'As-Filed Schedule 2B'!J17</f>
        <v>252772.80634175433</v>
      </c>
      <c r="O17" s="313">
        <f>SUMIFS(Adjustments!$G:$G,Adjustments!$H:$H,"2B",Adjustments!$I:$I,'Schedule 2B Adjustments'!$N$12,Adjustments!$J:$J,'Schedule 2B Adjustments'!$A17)</f>
        <v>0</v>
      </c>
      <c r="P17" s="309">
        <f t="shared" si="2"/>
        <v>252772.80634175433</v>
      </c>
      <c r="Q17" s="68">
        <f>IFERROR(N17*'As-Filed Schedule 1'!$E$103,0)</f>
        <v>113735.04329969104</v>
      </c>
      <c r="R17" s="310">
        <f>IFERROR(P17*'Adjusted Schedule 1'!$E$104,0)</f>
        <v>113735.04329969104</v>
      </c>
      <c r="S17" s="68">
        <f t="shared" si="3"/>
        <v>366507.84964144538</v>
      </c>
      <c r="T17" s="310">
        <f t="shared" si="4"/>
        <v>366507.84964144538</v>
      </c>
      <c r="V17" s="120">
        <f>'As-Filed Schedule 2B'!N17</f>
        <v>2.1531666666666673</v>
      </c>
      <c r="W17" s="313">
        <f>SUMIFS(Adjustments!$G:$G,Adjustments!$H:$H,"2B",Adjustments!$I:$I,'Schedule 2B Adjustments'!$V$12,Adjustments!$J:$J,'Schedule 2B Adjustments'!$A17)</f>
        <v>0</v>
      </c>
      <c r="X17" s="326">
        <f t="shared" si="5"/>
        <v>2.1531666666666673</v>
      </c>
      <c r="Y17" s="120">
        <f>'As-Filed Schedule 2B'!O17</f>
        <v>0</v>
      </c>
      <c r="Z17" s="313">
        <f>SUMIFS(Adjustments!$G:$G,Adjustments!$H:$H,"2B",Adjustments!$I:$I,'Schedule 2B Adjustments'!$Y$12,Adjustments!$J:$J,'Schedule 2B Adjustments'!$A17)</f>
        <v>0</v>
      </c>
      <c r="AA17" s="326">
        <f t="shared" si="6"/>
        <v>0</v>
      </c>
    </row>
    <row r="18" spans="1:27" x14ac:dyDescent="0.35">
      <c r="A18" s="24">
        <v>4</v>
      </c>
      <c r="B18" s="507" t="str">
        <f>IF('As-Filed Schedule 2B'!B18:D18=0,"",'As-Filed Schedule 2B'!B18:D18)</f>
        <v>2578 - COMB BHA WORKFORCE</v>
      </c>
      <c r="C18" s="507"/>
      <c r="D18" s="507"/>
      <c r="F18" s="117">
        <f>'As-Filed Schedule 2B'!F18</f>
        <v>0</v>
      </c>
      <c r="G18" s="313">
        <f>SUMIFS(Adjustments!$G:$G,Adjustments!$H:$H,"2B",Adjustments!$I:$I,'Schedule 2B Adjustments'!$F$12,Adjustments!$J:$J,'Schedule 2B Adjustments'!$A18)</f>
        <v>0</v>
      </c>
      <c r="H18" s="309">
        <f t="shared" si="0"/>
        <v>0</v>
      </c>
      <c r="I18" s="68">
        <f>IFERROR(F18*'As-Filed Schedule 1'!$E$103,0)</f>
        <v>0</v>
      </c>
      <c r="J18" s="310">
        <f>IFERROR(H18*'Adjusted Schedule 1'!$E$104,0)</f>
        <v>0</v>
      </c>
      <c r="K18" s="181">
        <f t="shared" si="1"/>
        <v>0</v>
      </c>
      <c r="L18" s="310">
        <f t="shared" ref="L18:L72" si="7">SUM(H18,J18)</f>
        <v>0</v>
      </c>
      <c r="N18" s="180">
        <f>'As-Filed Schedule 2B'!J18</f>
        <v>98544.933560766629</v>
      </c>
      <c r="O18" s="313">
        <f>SUMIFS(Adjustments!$G:$G,Adjustments!$H:$H,"2B",Adjustments!$I:$I,'Schedule 2B Adjustments'!$N$12,Adjustments!$J:$J,'Schedule 2B Adjustments'!$A18)</f>
        <v>0</v>
      </c>
      <c r="P18" s="309">
        <f t="shared" si="2"/>
        <v>98544.933560766629</v>
      </c>
      <c r="Q18" s="68">
        <f>IFERROR(N18*'As-Filed Schedule 1'!$E$103,0)</f>
        <v>44340.261310963542</v>
      </c>
      <c r="R18" s="310">
        <f>IFERROR(P18*'Adjusted Schedule 1'!$E$104,0)</f>
        <v>44340.261310963542</v>
      </c>
      <c r="S18" s="68">
        <f t="shared" si="3"/>
        <v>142885.19487173017</v>
      </c>
      <c r="T18" s="310">
        <f t="shared" si="4"/>
        <v>142885.19487173017</v>
      </c>
      <c r="V18" s="120">
        <f>'As-Filed Schedule 2B'!N18</f>
        <v>0.58333333333333337</v>
      </c>
      <c r="W18" s="313">
        <f>SUMIFS(Adjustments!$G:$G,Adjustments!$H:$H,"2B",Adjustments!$I:$I,'Schedule 2B Adjustments'!$V$12,Adjustments!$J:$J,'Schedule 2B Adjustments'!$A18)</f>
        <v>0</v>
      </c>
      <c r="X18" s="326">
        <f t="shared" si="5"/>
        <v>0.58333333333333337</v>
      </c>
      <c r="Y18" s="120">
        <f>'As-Filed Schedule 2B'!O18</f>
        <v>0</v>
      </c>
      <c r="Z18" s="313">
        <f>SUMIFS(Adjustments!$G:$G,Adjustments!$H:$H,"2B",Adjustments!$I:$I,'Schedule 2B Adjustments'!$Y$12,Adjustments!$J:$J,'Schedule 2B Adjustments'!$A18)</f>
        <v>0</v>
      </c>
      <c r="AA18" s="326">
        <f t="shared" si="6"/>
        <v>0</v>
      </c>
    </row>
    <row r="19" spans="1:27" x14ac:dyDescent="0.35">
      <c r="A19" s="24">
        <v>5</v>
      </c>
      <c r="B19" s="507" t="str">
        <f>IF('As-Filed Schedule 2B'!B19:D19=0,"",'As-Filed Schedule 2B'!B19:D19)</f>
        <v>2579 - COMB ZERO SUICIDE</v>
      </c>
      <c r="C19" s="507"/>
      <c r="D19" s="507"/>
      <c r="F19" s="117">
        <f>'As-Filed Schedule 2B'!F19</f>
        <v>0</v>
      </c>
      <c r="G19" s="313">
        <f>SUMIFS(Adjustments!$G:$G,Adjustments!$H:$H,"2B",Adjustments!$I:$I,'Schedule 2B Adjustments'!$F$12,Adjustments!$J:$J,'Schedule 2B Adjustments'!$A19)</f>
        <v>0</v>
      </c>
      <c r="H19" s="309">
        <f t="shared" si="0"/>
        <v>0</v>
      </c>
      <c r="I19" s="68">
        <f>IFERROR(F19*'As-Filed Schedule 1'!$E$103,0)</f>
        <v>0</v>
      </c>
      <c r="J19" s="310">
        <f>IFERROR(H19*'Adjusted Schedule 1'!$E$104,0)</f>
        <v>0</v>
      </c>
      <c r="K19" s="181">
        <f>SUM(F19,I19)</f>
        <v>0</v>
      </c>
      <c r="L19" s="310">
        <f t="shared" si="7"/>
        <v>0</v>
      </c>
      <c r="N19" s="180">
        <f>'As-Filed Schedule 2B'!J19</f>
        <v>18473.419487771873</v>
      </c>
      <c r="O19" s="313">
        <f>SUMIFS(Adjustments!$G:$G,Adjustments!$H:$H,"2B",Adjustments!$I:$I,'Schedule 2B Adjustments'!$N$12,Adjustments!$J:$J,'Schedule 2B Adjustments'!$A19)</f>
        <v>0</v>
      </c>
      <c r="P19" s="309">
        <f t="shared" si="2"/>
        <v>18473.419487771873</v>
      </c>
      <c r="Q19" s="68">
        <f>IFERROR(N19*'As-Filed Schedule 1'!$E$103,0)</f>
        <v>8312.1091850932371</v>
      </c>
      <c r="R19" s="310">
        <f>IFERROR(P19*'Adjusted Schedule 1'!$E$104,0)</f>
        <v>8312.1091850932371</v>
      </c>
      <c r="S19" s="68">
        <f t="shared" si="3"/>
        <v>26785.528672865112</v>
      </c>
      <c r="T19" s="310">
        <f t="shared" si="4"/>
        <v>26785.528672865112</v>
      </c>
      <c r="V19" s="120">
        <f>'As-Filed Schedule 2B'!N19</f>
        <v>0</v>
      </c>
      <c r="W19" s="313">
        <f>SUMIFS(Adjustments!$G:$G,Adjustments!$H:$H,"2B",Adjustments!$I:$I,'Schedule 2B Adjustments'!$V$12,Adjustments!$J:$J,'Schedule 2B Adjustments'!$A19)</f>
        <v>0</v>
      </c>
      <c r="X19" s="326">
        <f t="shared" si="5"/>
        <v>0</v>
      </c>
      <c r="Y19" s="120">
        <f>'As-Filed Schedule 2B'!O19</f>
        <v>0</v>
      </c>
      <c r="Z19" s="313">
        <f>SUMIFS(Adjustments!$G:$G,Adjustments!$H:$H,"2B",Adjustments!$I:$I,'Schedule 2B Adjustments'!$Y$12,Adjustments!$J:$J,'Schedule 2B Adjustments'!$A19)</f>
        <v>0</v>
      </c>
      <c r="AA19" s="326">
        <f t="shared" si="6"/>
        <v>0</v>
      </c>
    </row>
    <row r="20" spans="1:27" x14ac:dyDescent="0.35">
      <c r="A20" s="24">
        <v>6</v>
      </c>
      <c r="B20" s="507" t="str">
        <f>IF('As-Filed Schedule 2B'!B20:D20=0,"",'As-Filed Schedule 2B'!B20:D20)</f>
        <v/>
      </c>
      <c r="C20" s="507"/>
      <c r="D20" s="507"/>
      <c r="F20" s="117">
        <f>'As-Filed Schedule 2B'!F20</f>
        <v>0</v>
      </c>
      <c r="G20" s="313">
        <f>SUMIFS(Adjustments!$G:$G,Adjustments!$H:$H,"2B",Adjustments!$I:$I,'Schedule 2B Adjustments'!$F$12,Adjustments!$J:$J,'Schedule 2B Adjustments'!$A20)</f>
        <v>0</v>
      </c>
      <c r="H20" s="309">
        <f t="shared" si="0"/>
        <v>0</v>
      </c>
      <c r="I20" s="68">
        <f>IFERROR(F20*'As-Filed Schedule 1'!$E$103,0)</f>
        <v>0</v>
      </c>
      <c r="J20" s="310">
        <f>IFERROR(H20*'Adjusted Schedule 1'!$E$104,0)</f>
        <v>0</v>
      </c>
      <c r="K20" s="181">
        <f t="shared" si="1"/>
        <v>0</v>
      </c>
      <c r="L20" s="310">
        <f t="shared" si="7"/>
        <v>0</v>
      </c>
      <c r="N20" s="180">
        <f>'As-Filed Schedule 2B'!J20</f>
        <v>0</v>
      </c>
      <c r="O20" s="313">
        <f>SUMIFS(Adjustments!$G:$G,Adjustments!$H:$H,"2B",Adjustments!$I:$I,'Schedule 2B Adjustments'!$N$12,Adjustments!$J:$J,'Schedule 2B Adjustments'!$A20)</f>
        <v>0</v>
      </c>
      <c r="P20" s="309">
        <f t="shared" si="2"/>
        <v>0</v>
      </c>
      <c r="Q20" s="68">
        <f>IFERROR(N20*'As-Filed Schedule 1'!$E$103,0)</f>
        <v>0</v>
      </c>
      <c r="R20" s="310">
        <f>IFERROR(P20*'Adjusted Schedule 1'!$E$104,0)</f>
        <v>0</v>
      </c>
      <c r="S20" s="68">
        <f t="shared" si="3"/>
        <v>0</v>
      </c>
      <c r="T20" s="310">
        <f>SUM(P20,R20)</f>
        <v>0</v>
      </c>
      <c r="V20" s="120">
        <f>'As-Filed Schedule 2B'!N20</f>
        <v>0</v>
      </c>
      <c r="W20" s="313">
        <f>SUMIFS(Adjustments!$G:$G,Adjustments!$H:$H,"2B",Adjustments!$I:$I,'Schedule 2B Adjustments'!$V$12,Adjustments!$J:$J,'Schedule 2B Adjustments'!$A20)</f>
        <v>0</v>
      </c>
      <c r="X20" s="326">
        <f t="shared" si="5"/>
        <v>0</v>
      </c>
      <c r="Y20" s="120">
        <f>'As-Filed Schedule 2B'!O20</f>
        <v>0</v>
      </c>
      <c r="Z20" s="313">
        <f>SUMIFS(Adjustments!$G:$G,Adjustments!$H:$H,"2B",Adjustments!$I:$I,'Schedule 2B Adjustments'!$Y$12,Adjustments!$J:$J,'Schedule 2B Adjustments'!$A20)</f>
        <v>0</v>
      </c>
      <c r="AA20" s="326">
        <f t="shared" si="6"/>
        <v>0</v>
      </c>
    </row>
    <row r="21" spans="1:27" x14ac:dyDescent="0.35">
      <c r="A21" s="24">
        <v>7</v>
      </c>
      <c r="B21" s="507" t="str">
        <f>IF('As-Filed Schedule 2B'!B21:D21=0,"",'As-Filed Schedule 2B'!B21:D21)</f>
        <v/>
      </c>
      <c r="C21" s="507"/>
      <c r="D21" s="507"/>
      <c r="F21" s="117">
        <f>'As-Filed Schedule 2B'!F21</f>
        <v>0</v>
      </c>
      <c r="G21" s="313">
        <f>SUMIFS(Adjustments!$G:$G,Adjustments!$H:$H,"2B",Adjustments!$I:$I,'Schedule 2B Adjustments'!$F$12,Adjustments!$J:$J,'Schedule 2B Adjustments'!$A21)</f>
        <v>0</v>
      </c>
      <c r="H21" s="309">
        <f t="shared" si="0"/>
        <v>0</v>
      </c>
      <c r="I21" s="68">
        <f>IFERROR(F21*'As-Filed Schedule 1'!$E$103,0)</f>
        <v>0</v>
      </c>
      <c r="J21" s="310">
        <f>IFERROR(H21*'Adjusted Schedule 1'!$E$104,0)</f>
        <v>0</v>
      </c>
      <c r="K21" s="181">
        <f t="shared" si="1"/>
        <v>0</v>
      </c>
      <c r="L21" s="310">
        <f t="shared" si="7"/>
        <v>0</v>
      </c>
      <c r="N21" s="180">
        <f>'As-Filed Schedule 2B'!J21</f>
        <v>0</v>
      </c>
      <c r="O21" s="313">
        <f>SUMIFS(Adjustments!$G:$G,Adjustments!$H:$H,"2B",Adjustments!$I:$I,'Schedule 2B Adjustments'!$N$12,Adjustments!$J:$J,'Schedule 2B Adjustments'!$A21)</f>
        <v>0</v>
      </c>
      <c r="P21" s="309">
        <f t="shared" si="2"/>
        <v>0</v>
      </c>
      <c r="Q21" s="68">
        <f>IFERROR(N21*'As-Filed Schedule 1'!$E$103,0)</f>
        <v>0</v>
      </c>
      <c r="R21" s="310">
        <f>IFERROR(P21*'Adjusted Schedule 1'!$E$104,0)</f>
        <v>0</v>
      </c>
      <c r="S21" s="68">
        <f t="shared" si="3"/>
        <v>0</v>
      </c>
      <c r="T21" s="310">
        <f t="shared" si="4"/>
        <v>0</v>
      </c>
      <c r="V21" s="120">
        <f>'As-Filed Schedule 2B'!N21</f>
        <v>0</v>
      </c>
      <c r="W21" s="313">
        <f>SUMIFS(Adjustments!$G:$G,Adjustments!$H:$H,"2B",Adjustments!$I:$I,'Schedule 2B Adjustments'!$V$12,Adjustments!$J:$J,'Schedule 2B Adjustments'!$A21)</f>
        <v>0</v>
      </c>
      <c r="X21" s="326">
        <f t="shared" si="5"/>
        <v>0</v>
      </c>
      <c r="Y21" s="120">
        <f>'As-Filed Schedule 2B'!O21</f>
        <v>0</v>
      </c>
      <c r="Z21" s="313">
        <f>SUMIFS(Adjustments!$G:$G,Adjustments!$H:$H,"2B",Adjustments!$I:$I,'Schedule 2B Adjustments'!$Y$12,Adjustments!$J:$J,'Schedule 2B Adjustments'!$A21)</f>
        <v>0</v>
      </c>
      <c r="AA21" s="326">
        <f t="shared" si="6"/>
        <v>0</v>
      </c>
    </row>
    <row r="22" spans="1:27" x14ac:dyDescent="0.35">
      <c r="A22" s="24">
        <v>8</v>
      </c>
      <c r="B22" s="507" t="str">
        <f>IF('As-Filed Schedule 2B'!B22:D22=0,"",'As-Filed Schedule 2B'!B22:D22)</f>
        <v/>
      </c>
      <c r="C22" s="507"/>
      <c r="D22" s="507"/>
      <c r="F22" s="117">
        <f>'As-Filed Schedule 2B'!F22</f>
        <v>0</v>
      </c>
      <c r="G22" s="313">
        <f>SUMIFS(Adjustments!$G:$G,Adjustments!$H:$H,"2B",Adjustments!$I:$I,'Schedule 2B Adjustments'!$F$12,Adjustments!$J:$J,'Schedule 2B Adjustments'!$A22)</f>
        <v>0</v>
      </c>
      <c r="H22" s="309">
        <f t="shared" si="0"/>
        <v>0</v>
      </c>
      <c r="I22" s="68">
        <f>IFERROR(F22*'As-Filed Schedule 1'!$E$103,0)</f>
        <v>0</v>
      </c>
      <c r="J22" s="310">
        <f>IFERROR(H22*'Adjusted Schedule 1'!$E$104,0)</f>
        <v>0</v>
      </c>
      <c r="K22" s="181">
        <f t="shared" si="1"/>
        <v>0</v>
      </c>
      <c r="L22" s="310">
        <f t="shared" si="7"/>
        <v>0</v>
      </c>
      <c r="N22" s="180">
        <f>'As-Filed Schedule 2B'!J22</f>
        <v>0</v>
      </c>
      <c r="O22" s="313">
        <f>SUMIFS(Adjustments!$G:$G,Adjustments!$H:$H,"2B",Adjustments!$I:$I,'Schedule 2B Adjustments'!$N$12,Adjustments!$J:$J,'Schedule 2B Adjustments'!$A22)</f>
        <v>0</v>
      </c>
      <c r="P22" s="309">
        <f t="shared" si="2"/>
        <v>0</v>
      </c>
      <c r="Q22" s="68">
        <f>IFERROR(N22*'As-Filed Schedule 1'!$E$103,0)</f>
        <v>0</v>
      </c>
      <c r="R22" s="310">
        <f>IFERROR(P22*'Adjusted Schedule 1'!$E$104,0)</f>
        <v>0</v>
      </c>
      <c r="S22" s="68">
        <f t="shared" si="3"/>
        <v>0</v>
      </c>
      <c r="T22" s="310">
        <f t="shared" si="4"/>
        <v>0</v>
      </c>
      <c r="V22" s="120">
        <f>'As-Filed Schedule 2B'!N22</f>
        <v>0</v>
      </c>
      <c r="W22" s="313">
        <f>SUMIFS(Adjustments!$G:$G,Adjustments!$H:$H,"2B",Adjustments!$I:$I,'Schedule 2B Adjustments'!$V$12,Adjustments!$J:$J,'Schedule 2B Adjustments'!$A22)</f>
        <v>0</v>
      </c>
      <c r="X22" s="326">
        <f t="shared" si="5"/>
        <v>0</v>
      </c>
      <c r="Y22" s="120">
        <f>'As-Filed Schedule 2B'!O22</f>
        <v>0</v>
      </c>
      <c r="Z22" s="313">
        <f>SUMIFS(Adjustments!$G:$G,Adjustments!$H:$H,"2B",Adjustments!$I:$I,'Schedule 2B Adjustments'!$Y$12,Adjustments!$J:$J,'Schedule 2B Adjustments'!$A22)</f>
        <v>0</v>
      </c>
      <c r="AA22" s="326">
        <f t="shared" si="6"/>
        <v>0</v>
      </c>
    </row>
    <row r="23" spans="1:27" x14ac:dyDescent="0.35">
      <c r="A23" s="24">
        <v>9</v>
      </c>
      <c r="B23" s="507" t="str">
        <f>IF('As-Filed Schedule 2B'!B23:D23=0,"",'As-Filed Schedule 2B'!B23:D23)</f>
        <v/>
      </c>
      <c r="C23" s="507"/>
      <c r="D23" s="507"/>
      <c r="F23" s="117">
        <f>'As-Filed Schedule 2B'!F23</f>
        <v>0</v>
      </c>
      <c r="G23" s="313">
        <f>SUMIFS(Adjustments!$G:$G,Adjustments!$H:$H,"2B",Adjustments!$I:$I,'Schedule 2B Adjustments'!$F$12,Adjustments!$J:$J,'Schedule 2B Adjustments'!$A23)</f>
        <v>0</v>
      </c>
      <c r="H23" s="309">
        <f t="shared" si="0"/>
        <v>0</v>
      </c>
      <c r="I23" s="68">
        <f>IFERROR(F23*'As-Filed Schedule 1'!$E$103,0)</f>
        <v>0</v>
      </c>
      <c r="J23" s="310">
        <f>IFERROR(H23*'Adjusted Schedule 1'!$E$104,0)</f>
        <v>0</v>
      </c>
      <c r="K23" s="181">
        <f t="shared" si="1"/>
        <v>0</v>
      </c>
      <c r="L23" s="310">
        <f t="shared" si="7"/>
        <v>0</v>
      </c>
      <c r="N23" s="180">
        <f>'As-Filed Schedule 2B'!J23</f>
        <v>0</v>
      </c>
      <c r="O23" s="313">
        <f>SUMIFS(Adjustments!$G:$G,Adjustments!$H:$H,"2B",Adjustments!$I:$I,'Schedule 2B Adjustments'!$N$12,Adjustments!$J:$J,'Schedule 2B Adjustments'!$A23)</f>
        <v>0</v>
      </c>
      <c r="P23" s="309">
        <f t="shared" si="2"/>
        <v>0</v>
      </c>
      <c r="Q23" s="68">
        <f>IFERROR(N23*'As-Filed Schedule 1'!$E$103,0)</f>
        <v>0</v>
      </c>
      <c r="R23" s="310">
        <f>IFERROR(P23*'Adjusted Schedule 1'!$E$104,0)</f>
        <v>0</v>
      </c>
      <c r="S23" s="68">
        <f t="shared" si="3"/>
        <v>0</v>
      </c>
      <c r="T23" s="310">
        <f t="shared" si="4"/>
        <v>0</v>
      </c>
      <c r="V23" s="120">
        <f>'As-Filed Schedule 2B'!N23</f>
        <v>0</v>
      </c>
      <c r="W23" s="313">
        <f>SUMIFS(Adjustments!$G:$G,Adjustments!$H:$H,"2B",Adjustments!$I:$I,'Schedule 2B Adjustments'!$V$12,Adjustments!$J:$J,'Schedule 2B Adjustments'!$A23)</f>
        <v>0</v>
      </c>
      <c r="X23" s="326">
        <f t="shared" si="5"/>
        <v>0</v>
      </c>
      <c r="Y23" s="120">
        <f>'As-Filed Schedule 2B'!O23</f>
        <v>0</v>
      </c>
      <c r="Z23" s="313">
        <f>SUMIFS(Adjustments!$G:$G,Adjustments!$H:$H,"2B",Adjustments!$I:$I,'Schedule 2B Adjustments'!$Y$12,Adjustments!$J:$J,'Schedule 2B Adjustments'!$A23)</f>
        <v>0</v>
      </c>
      <c r="AA23" s="326">
        <f t="shared" si="6"/>
        <v>0</v>
      </c>
    </row>
    <row r="24" spans="1:27" x14ac:dyDescent="0.35">
      <c r="A24" s="24">
        <v>10</v>
      </c>
      <c r="B24" s="507" t="str">
        <f>IF('As-Filed Schedule 2B'!B24:D24=0,"",'As-Filed Schedule 2B'!B24:D24)</f>
        <v/>
      </c>
      <c r="C24" s="507"/>
      <c r="D24" s="507"/>
      <c r="F24" s="117">
        <f>'As-Filed Schedule 2B'!F24</f>
        <v>0</v>
      </c>
      <c r="G24" s="313">
        <f>SUMIFS(Adjustments!$G:$G,Adjustments!$H:$H,"2B",Adjustments!$I:$I,'Schedule 2B Adjustments'!$F$12,Adjustments!$J:$J,'Schedule 2B Adjustments'!$A24)</f>
        <v>0</v>
      </c>
      <c r="H24" s="309">
        <f t="shared" si="0"/>
        <v>0</v>
      </c>
      <c r="I24" s="68">
        <f>IFERROR(F24*'As-Filed Schedule 1'!$E$103,0)</f>
        <v>0</v>
      </c>
      <c r="J24" s="310">
        <f>IFERROR(H24*'Adjusted Schedule 1'!$E$104,0)</f>
        <v>0</v>
      </c>
      <c r="K24" s="181">
        <f t="shared" si="1"/>
        <v>0</v>
      </c>
      <c r="L24" s="310">
        <f t="shared" si="7"/>
        <v>0</v>
      </c>
      <c r="N24" s="180">
        <f>'As-Filed Schedule 2B'!J24</f>
        <v>0</v>
      </c>
      <c r="O24" s="313">
        <f>SUMIFS(Adjustments!$G:$G,Adjustments!$H:$H,"2B",Adjustments!$I:$I,'Schedule 2B Adjustments'!$N$12,Adjustments!$J:$J,'Schedule 2B Adjustments'!$A24)</f>
        <v>0</v>
      </c>
      <c r="P24" s="309">
        <f t="shared" si="2"/>
        <v>0</v>
      </c>
      <c r="Q24" s="68">
        <f>IFERROR(N24*'As-Filed Schedule 1'!$E$103,0)</f>
        <v>0</v>
      </c>
      <c r="R24" s="310">
        <f>IFERROR(P24*'Adjusted Schedule 1'!$E$104,0)</f>
        <v>0</v>
      </c>
      <c r="S24" s="68">
        <f t="shared" si="3"/>
        <v>0</v>
      </c>
      <c r="T24" s="310">
        <f t="shared" si="4"/>
        <v>0</v>
      </c>
      <c r="V24" s="120">
        <f>'As-Filed Schedule 2B'!N24</f>
        <v>0</v>
      </c>
      <c r="W24" s="313">
        <f>SUMIFS(Adjustments!$G:$G,Adjustments!$H:$H,"2B",Adjustments!$I:$I,'Schedule 2B Adjustments'!$V$12,Adjustments!$J:$J,'Schedule 2B Adjustments'!$A24)</f>
        <v>0</v>
      </c>
      <c r="X24" s="326">
        <f t="shared" si="5"/>
        <v>0</v>
      </c>
      <c r="Y24" s="120">
        <f>'As-Filed Schedule 2B'!O24</f>
        <v>0</v>
      </c>
      <c r="Z24" s="313">
        <f>SUMIFS(Adjustments!$G:$G,Adjustments!$H:$H,"2B",Adjustments!$I:$I,'Schedule 2B Adjustments'!$Y$12,Adjustments!$J:$J,'Schedule 2B Adjustments'!$A24)</f>
        <v>0</v>
      </c>
      <c r="AA24" s="326">
        <f t="shared" si="6"/>
        <v>0</v>
      </c>
    </row>
    <row r="25" spans="1:27" x14ac:dyDescent="0.35">
      <c r="A25" s="24">
        <v>11</v>
      </c>
      <c r="B25" s="507" t="str">
        <f>IF('As-Filed Schedule 2B'!B25:D25=0,"",'As-Filed Schedule 2B'!B25:D25)</f>
        <v/>
      </c>
      <c r="C25" s="507"/>
      <c r="D25" s="507"/>
      <c r="F25" s="117">
        <f>'As-Filed Schedule 2B'!F25</f>
        <v>0</v>
      </c>
      <c r="G25" s="313">
        <f>SUMIFS(Adjustments!$G:$G,Adjustments!$H:$H,"2B",Adjustments!$I:$I,'Schedule 2B Adjustments'!$F$12,Adjustments!$J:$J,'Schedule 2B Adjustments'!$A25)</f>
        <v>0</v>
      </c>
      <c r="H25" s="309">
        <f t="shared" si="0"/>
        <v>0</v>
      </c>
      <c r="I25" s="68">
        <f>IFERROR(F25*'As-Filed Schedule 1'!$E$103,0)</f>
        <v>0</v>
      </c>
      <c r="J25" s="310">
        <f>IFERROR(H25*'Adjusted Schedule 1'!$E$104,0)</f>
        <v>0</v>
      </c>
      <c r="K25" s="181">
        <f t="shared" si="1"/>
        <v>0</v>
      </c>
      <c r="L25" s="310">
        <f t="shared" si="7"/>
        <v>0</v>
      </c>
      <c r="N25" s="180">
        <f>'As-Filed Schedule 2B'!J25</f>
        <v>0</v>
      </c>
      <c r="O25" s="313">
        <f>SUMIFS(Adjustments!$G:$G,Adjustments!$H:$H,"2B",Adjustments!$I:$I,'Schedule 2B Adjustments'!$N$12,Adjustments!$J:$J,'Schedule 2B Adjustments'!$A25)</f>
        <v>0</v>
      </c>
      <c r="P25" s="309">
        <f t="shared" si="2"/>
        <v>0</v>
      </c>
      <c r="Q25" s="68">
        <f>IFERROR(N25*'As-Filed Schedule 1'!$E$103,0)</f>
        <v>0</v>
      </c>
      <c r="R25" s="310">
        <f>IFERROR(P25*'Adjusted Schedule 1'!$E$104,0)</f>
        <v>0</v>
      </c>
      <c r="S25" s="68">
        <f t="shared" si="3"/>
        <v>0</v>
      </c>
      <c r="T25" s="310">
        <f t="shared" si="4"/>
        <v>0</v>
      </c>
      <c r="V25" s="120">
        <f>'As-Filed Schedule 2B'!N25</f>
        <v>0</v>
      </c>
      <c r="W25" s="313">
        <f>SUMIFS(Adjustments!$G:$G,Adjustments!$H:$H,"2B",Adjustments!$I:$I,'Schedule 2B Adjustments'!$V$12,Adjustments!$J:$J,'Schedule 2B Adjustments'!$A25)</f>
        <v>0</v>
      </c>
      <c r="X25" s="326">
        <f t="shared" si="5"/>
        <v>0</v>
      </c>
      <c r="Y25" s="120">
        <f>'As-Filed Schedule 2B'!O25</f>
        <v>0</v>
      </c>
      <c r="Z25" s="313">
        <f>SUMIFS(Adjustments!$G:$G,Adjustments!$H:$H,"2B",Adjustments!$I:$I,'Schedule 2B Adjustments'!$Y$12,Adjustments!$J:$J,'Schedule 2B Adjustments'!$A25)</f>
        <v>0</v>
      </c>
      <c r="AA25" s="326">
        <f t="shared" si="6"/>
        <v>0</v>
      </c>
    </row>
    <row r="26" spans="1:27" x14ac:dyDescent="0.35">
      <c r="A26" s="24">
        <v>12</v>
      </c>
      <c r="B26" s="507" t="str">
        <f>IF('As-Filed Schedule 2B'!B26:D26=0,"",'As-Filed Schedule 2B'!B26:D26)</f>
        <v/>
      </c>
      <c r="C26" s="507"/>
      <c r="D26" s="507"/>
      <c r="F26" s="117">
        <f>'As-Filed Schedule 2B'!F26</f>
        <v>0</v>
      </c>
      <c r="G26" s="313">
        <f>SUMIFS(Adjustments!$G:$G,Adjustments!$H:$H,"2B",Adjustments!$I:$I,'Schedule 2B Adjustments'!$F$12,Adjustments!$J:$J,'Schedule 2B Adjustments'!$A26)</f>
        <v>0</v>
      </c>
      <c r="H26" s="309">
        <f t="shared" si="0"/>
        <v>0</v>
      </c>
      <c r="I26" s="68">
        <f>IFERROR(F26*'As-Filed Schedule 1'!$E$103,0)</f>
        <v>0</v>
      </c>
      <c r="J26" s="310">
        <f>IFERROR(H26*'Adjusted Schedule 1'!$E$104,0)</f>
        <v>0</v>
      </c>
      <c r="K26" s="181">
        <f t="shared" si="1"/>
        <v>0</v>
      </c>
      <c r="L26" s="310">
        <f t="shared" si="7"/>
        <v>0</v>
      </c>
      <c r="N26" s="180">
        <f>'As-Filed Schedule 2B'!J26</f>
        <v>0</v>
      </c>
      <c r="O26" s="313">
        <f>SUMIFS(Adjustments!$G:$G,Adjustments!$H:$H,"2B",Adjustments!$I:$I,'Schedule 2B Adjustments'!$N$12,Adjustments!$J:$J,'Schedule 2B Adjustments'!$A26)</f>
        <v>0</v>
      </c>
      <c r="P26" s="309">
        <f t="shared" si="2"/>
        <v>0</v>
      </c>
      <c r="Q26" s="68">
        <f>IFERROR(N26*'As-Filed Schedule 1'!$E$103,0)</f>
        <v>0</v>
      </c>
      <c r="R26" s="310">
        <f>IFERROR(P26*'Adjusted Schedule 1'!$E$104,0)</f>
        <v>0</v>
      </c>
      <c r="S26" s="68">
        <f t="shared" si="3"/>
        <v>0</v>
      </c>
      <c r="T26" s="310">
        <f t="shared" si="4"/>
        <v>0</v>
      </c>
      <c r="V26" s="120">
        <f>'As-Filed Schedule 2B'!N26</f>
        <v>0</v>
      </c>
      <c r="W26" s="313">
        <f>SUMIFS(Adjustments!$G:$G,Adjustments!$H:$H,"2B",Adjustments!$I:$I,'Schedule 2B Adjustments'!$V$12,Adjustments!$J:$J,'Schedule 2B Adjustments'!$A26)</f>
        <v>0</v>
      </c>
      <c r="X26" s="326">
        <f t="shared" si="5"/>
        <v>0</v>
      </c>
      <c r="Y26" s="120">
        <f>'As-Filed Schedule 2B'!O26</f>
        <v>0</v>
      </c>
      <c r="Z26" s="313">
        <f>SUMIFS(Adjustments!$G:$G,Adjustments!$H:$H,"2B",Adjustments!$I:$I,'Schedule 2B Adjustments'!$Y$12,Adjustments!$J:$J,'Schedule 2B Adjustments'!$A26)</f>
        <v>0</v>
      </c>
      <c r="AA26" s="326">
        <f t="shared" si="6"/>
        <v>0</v>
      </c>
    </row>
    <row r="27" spans="1:27" x14ac:dyDescent="0.35">
      <c r="A27" s="24">
        <v>13</v>
      </c>
      <c r="B27" s="507" t="str">
        <f>IF('As-Filed Schedule 2B'!B27:D27=0,"",'As-Filed Schedule 2B'!B27:D27)</f>
        <v/>
      </c>
      <c r="C27" s="507"/>
      <c r="D27" s="507"/>
      <c r="F27" s="117">
        <f>'As-Filed Schedule 2B'!F27</f>
        <v>0</v>
      </c>
      <c r="G27" s="313">
        <f>SUMIFS(Adjustments!$G:$G,Adjustments!$H:$H,"2B",Adjustments!$I:$I,'Schedule 2B Adjustments'!$F$12,Adjustments!$J:$J,'Schedule 2B Adjustments'!$A27)</f>
        <v>0</v>
      </c>
      <c r="H27" s="309">
        <f t="shared" si="0"/>
        <v>0</v>
      </c>
      <c r="I27" s="68">
        <f>IFERROR(F27*'As-Filed Schedule 1'!$E$103,0)</f>
        <v>0</v>
      </c>
      <c r="J27" s="310">
        <f>IFERROR(H27*'Adjusted Schedule 1'!$E$104,0)</f>
        <v>0</v>
      </c>
      <c r="K27" s="181">
        <f t="shared" si="1"/>
        <v>0</v>
      </c>
      <c r="L27" s="310">
        <f t="shared" si="7"/>
        <v>0</v>
      </c>
      <c r="N27" s="180">
        <f>'As-Filed Schedule 2B'!J27</f>
        <v>0</v>
      </c>
      <c r="O27" s="313">
        <f>SUMIFS(Adjustments!$G:$G,Adjustments!$H:$H,"2B",Adjustments!$I:$I,'Schedule 2B Adjustments'!$N$12,Adjustments!$J:$J,'Schedule 2B Adjustments'!$A27)</f>
        <v>0</v>
      </c>
      <c r="P27" s="309">
        <f t="shared" si="2"/>
        <v>0</v>
      </c>
      <c r="Q27" s="68">
        <f>IFERROR(N27*'As-Filed Schedule 1'!$E$103,0)</f>
        <v>0</v>
      </c>
      <c r="R27" s="310">
        <f>IFERROR(P27*'Adjusted Schedule 1'!$E$104,0)</f>
        <v>0</v>
      </c>
      <c r="S27" s="68">
        <f t="shared" si="3"/>
        <v>0</v>
      </c>
      <c r="T27" s="310">
        <f t="shared" si="4"/>
        <v>0</v>
      </c>
      <c r="V27" s="120">
        <f>'As-Filed Schedule 2B'!N27</f>
        <v>0</v>
      </c>
      <c r="W27" s="313">
        <f>SUMIFS(Adjustments!$G:$G,Adjustments!$H:$H,"2B",Adjustments!$I:$I,'Schedule 2B Adjustments'!$V$12,Adjustments!$J:$J,'Schedule 2B Adjustments'!$A27)</f>
        <v>0</v>
      </c>
      <c r="X27" s="326">
        <f t="shared" si="5"/>
        <v>0</v>
      </c>
      <c r="Y27" s="120">
        <f>'As-Filed Schedule 2B'!O27</f>
        <v>0</v>
      </c>
      <c r="Z27" s="313">
        <f>SUMIFS(Adjustments!$G:$G,Adjustments!$H:$H,"2B",Adjustments!$I:$I,'Schedule 2B Adjustments'!$Y$12,Adjustments!$J:$J,'Schedule 2B Adjustments'!$A27)</f>
        <v>0</v>
      </c>
      <c r="AA27" s="326">
        <f t="shared" si="6"/>
        <v>0</v>
      </c>
    </row>
    <row r="28" spans="1:27" x14ac:dyDescent="0.35">
      <c r="A28" s="24">
        <v>14</v>
      </c>
      <c r="B28" s="507" t="str">
        <f>IF('As-Filed Schedule 2B'!B28:D28=0,"",'As-Filed Schedule 2B'!B28:D28)</f>
        <v/>
      </c>
      <c r="C28" s="507"/>
      <c r="D28" s="507"/>
      <c r="F28" s="117">
        <f>'As-Filed Schedule 2B'!F28</f>
        <v>0</v>
      </c>
      <c r="G28" s="313">
        <f>SUMIFS(Adjustments!$G:$G,Adjustments!$H:$H,"2B",Adjustments!$I:$I,'Schedule 2B Adjustments'!$F$12,Adjustments!$J:$J,'Schedule 2B Adjustments'!$A28)</f>
        <v>0</v>
      </c>
      <c r="H28" s="309">
        <f t="shared" si="0"/>
        <v>0</v>
      </c>
      <c r="I28" s="68">
        <f>IFERROR(F28*'As-Filed Schedule 1'!$E$103,0)</f>
        <v>0</v>
      </c>
      <c r="J28" s="310">
        <f>IFERROR(H28*'Adjusted Schedule 1'!$E$104,0)</f>
        <v>0</v>
      </c>
      <c r="K28" s="181">
        <f t="shared" si="1"/>
        <v>0</v>
      </c>
      <c r="L28" s="310">
        <f>SUM(H28,J28)</f>
        <v>0</v>
      </c>
      <c r="N28" s="180">
        <f>'As-Filed Schedule 2B'!J28</f>
        <v>0</v>
      </c>
      <c r="O28" s="313">
        <f>SUMIFS(Adjustments!$G:$G,Adjustments!$H:$H,"2B",Adjustments!$I:$I,'Schedule 2B Adjustments'!$N$12,Adjustments!$J:$J,'Schedule 2B Adjustments'!$A28)</f>
        <v>0</v>
      </c>
      <c r="P28" s="309">
        <f t="shared" si="2"/>
        <v>0</v>
      </c>
      <c r="Q28" s="68">
        <f>IFERROR(N28*'As-Filed Schedule 1'!$E$103,0)</f>
        <v>0</v>
      </c>
      <c r="R28" s="310">
        <f>IFERROR(P28*'Adjusted Schedule 1'!$E$104,0)</f>
        <v>0</v>
      </c>
      <c r="S28" s="68">
        <f t="shared" si="3"/>
        <v>0</v>
      </c>
      <c r="T28" s="310">
        <f t="shared" si="4"/>
        <v>0</v>
      </c>
      <c r="V28" s="120">
        <f>'As-Filed Schedule 2B'!N28</f>
        <v>0</v>
      </c>
      <c r="W28" s="313">
        <f>SUMIFS(Adjustments!$G:$G,Adjustments!$H:$H,"2B",Adjustments!$I:$I,'Schedule 2B Adjustments'!$V$12,Adjustments!$J:$J,'Schedule 2B Adjustments'!$A28)</f>
        <v>0</v>
      </c>
      <c r="X28" s="326">
        <f t="shared" si="5"/>
        <v>0</v>
      </c>
      <c r="Y28" s="120">
        <f>'As-Filed Schedule 2B'!O28</f>
        <v>0</v>
      </c>
      <c r="Z28" s="313">
        <f>SUMIFS(Adjustments!$G:$G,Adjustments!$H:$H,"2B",Adjustments!$I:$I,'Schedule 2B Adjustments'!$Y$12,Adjustments!$J:$J,'Schedule 2B Adjustments'!$A28)</f>
        <v>0</v>
      </c>
      <c r="AA28" s="326">
        <f t="shared" si="6"/>
        <v>0</v>
      </c>
    </row>
    <row r="29" spans="1:27" x14ac:dyDescent="0.35">
      <c r="A29" s="24">
        <v>15</v>
      </c>
      <c r="B29" s="507" t="str">
        <f>IF('As-Filed Schedule 2B'!B29:D29=0,"",'As-Filed Schedule 2B'!B29:D29)</f>
        <v/>
      </c>
      <c r="C29" s="507"/>
      <c r="D29" s="507"/>
      <c r="F29" s="117">
        <f>'As-Filed Schedule 2B'!F29</f>
        <v>0</v>
      </c>
      <c r="G29" s="313">
        <f>SUMIFS(Adjustments!$G:$G,Adjustments!$H:$H,"2B",Adjustments!$I:$I,'Schedule 2B Adjustments'!$F$12,Adjustments!$J:$J,'Schedule 2B Adjustments'!$A29)</f>
        <v>0</v>
      </c>
      <c r="H29" s="309">
        <f t="shared" si="0"/>
        <v>0</v>
      </c>
      <c r="I29" s="68">
        <f>IFERROR(F29*'As-Filed Schedule 1'!$E$103,0)</f>
        <v>0</v>
      </c>
      <c r="J29" s="310">
        <f>IFERROR(H29*'Adjusted Schedule 1'!$E$104,0)</f>
        <v>0</v>
      </c>
      <c r="K29" s="181">
        <f t="shared" si="1"/>
        <v>0</v>
      </c>
      <c r="L29" s="310">
        <f t="shared" si="7"/>
        <v>0</v>
      </c>
      <c r="N29" s="180">
        <f>'As-Filed Schedule 2B'!J29</f>
        <v>0</v>
      </c>
      <c r="O29" s="313">
        <f>SUMIFS(Adjustments!$G:$G,Adjustments!$H:$H,"2B",Adjustments!$I:$I,'Schedule 2B Adjustments'!$N$12,Adjustments!$J:$J,'Schedule 2B Adjustments'!$A29)</f>
        <v>0</v>
      </c>
      <c r="P29" s="309">
        <f t="shared" si="2"/>
        <v>0</v>
      </c>
      <c r="Q29" s="68">
        <f>IFERROR(N29*'As-Filed Schedule 1'!$E$103,0)</f>
        <v>0</v>
      </c>
      <c r="R29" s="310">
        <f>IFERROR(P29*'Adjusted Schedule 1'!$E$104,0)</f>
        <v>0</v>
      </c>
      <c r="S29" s="68">
        <f t="shared" si="3"/>
        <v>0</v>
      </c>
      <c r="T29" s="310">
        <f t="shared" si="4"/>
        <v>0</v>
      </c>
      <c r="V29" s="120">
        <f>'As-Filed Schedule 2B'!N29</f>
        <v>0</v>
      </c>
      <c r="W29" s="313">
        <f>SUMIFS(Adjustments!$G:$G,Adjustments!$H:$H,"2B",Adjustments!$I:$I,'Schedule 2B Adjustments'!$V$12,Adjustments!$J:$J,'Schedule 2B Adjustments'!$A29)</f>
        <v>0</v>
      </c>
      <c r="X29" s="326">
        <f t="shared" si="5"/>
        <v>0</v>
      </c>
      <c r="Y29" s="120">
        <f>'As-Filed Schedule 2B'!O29</f>
        <v>0</v>
      </c>
      <c r="Z29" s="313">
        <f>SUMIFS(Adjustments!$G:$G,Adjustments!$H:$H,"2B",Adjustments!$I:$I,'Schedule 2B Adjustments'!$Y$12,Adjustments!$J:$J,'Schedule 2B Adjustments'!$A29)</f>
        <v>0</v>
      </c>
      <c r="AA29" s="326">
        <f t="shared" si="6"/>
        <v>0</v>
      </c>
    </row>
    <row r="30" spans="1:27" x14ac:dyDescent="0.35">
      <c r="A30" s="24">
        <v>16</v>
      </c>
      <c r="B30" s="507" t="str">
        <f>IF('As-Filed Schedule 2B'!B30:D30=0,"",'As-Filed Schedule 2B'!B30:D30)</f>
        <v/>
      </c>
      <c r="C30" s="507"/>
      <c r="D30" s="507"/>
      <c r="F30" s="117">
        <f>'As-Filed Schedule 2B'!F30</f>
        <v>0</v>
      </c>
      <c r="G30" s="313">
        <f>SUMIFS(Adjustments!$G:$G,Adjustments!$H:$H,"2B",Adjustments!$I:$I,'Schedule 2B Adjustments'!$F$12,Adjustments!$J:$J,'Schedule 2B Adjustments'!$A30)</f>
        <v>0</v>
      </c>
      <c r="H30" s="309">
        <f t="shared" si="0"/>
        <v>0</v>
      </c>
      <c r="I30" s="68">
        <f>IFERROR(F30*'As-Filed Schedule 1'!$E$103,0)</f>
        <v>0</v>
      </c>
      <c r="J30" s="310">
        <f>IFERROR(H30*'Adjusted Schedule 1'!$E$104,0)</f>
        <v>0</v>
      </c>
      <c r="K30" s="181">
        <f t="shared" si="1"/>
        <v>0</v>
      </c>
      <c r="L30" s="310">
        <f t="shared" si="7"/>
        <v>0</v>
      </c>
      <c r="N30" s="180">
        <f>'As-Filed Schedule 2B'!J30</f>
        <v>0</v>
      </c>
      <c r="O30" s="313">
        <f>SUMIFS(Adjustments!$G:$G,Adjustments!$H:$H,"2B",Adjustments!$I:$I,'Schedule 2B Adjustments'!$N$12,Adjustments!$J:$J,'Schedule 2B Adjustments'!$A30)</f>
        <v>0</v>
      </c>
      <c r="P30" s="309">
        <f t="shared" si="2"/>
        <v>0</v>
      </c>
      <c r="Q30" s="68">
        <f>IFERROR(N30*'As-Filed Schedule 1'!$E$103,0)</f>
        <v>0</v>
      </c>
      <c r="R30" s="310">
        <f>IFERROR(P30*'Adjusted Schedule 1'!$E$104,0)</f>
        <v>0</v>
      </c>
      <c r="S30" s="68">
        <f t="shared" si="3"/>
        <v>0</v>
      </c>
      <c r="T30" s="310">
        <f t="shared" si="4"/>
        <v>0</v>
      </c>
      <c r="V30" s="120">
        <f>'As-Filed Schedule 2B'!N30</f>
        <v>0</v>
      </c>
      <c r="W30" s="313">
        <f>SUMIFS(Adjustments!$G:$G,Adjustments!$H:$H,"2B",Adjustments!$I:$I,'Schedule 2B Adjustments'!$V$12,Adjustments!$J:$J,'Schedule 2B Adjustments'!$A30)</f>
        <v>0</v>
      </c>
      <c r="X30" s="326">
        <f t="shared" si="5"/>
        <v>0</v>
      </c>
      <c r="Y30" s="120">
        <f>'As-Filed Schedule 2B'!O30</f>
        <v>0</v>
      </c>
      <c r="Z30" s="313">
        <f>SUMIFS(Adjustments!$G:$G,Adjustments!$H:$H,"2B",Adjustments!$I:$I,'Schedule 2B Adjustments'!$Y$12,Adjustments!$J:$J,'Schedule 2B Adjustments'!$A30)</f>
        <v>0</v>
      </c>
      <c r="AA30" s="326">
        <f t="shared" si="6"/>
        <v>0</v>
      </c>
    </row>
    <row r="31" spans="1:27" x14ac:dyDescent="0.35">
      <c r="A31" s="24">
        <v>17</v>
      </c>
      <c r="B31" s="507" t="str">
        <f>IF('As-Filed Schedule 2B'!B31:D31=0,"",'As-Filed Schedule 2B'!B31:D31)</f>
        <v/>
      </c>
      <c r="C31" s="507"/>
      <c r="D31" s="507"/>
      <c r="F31" s="117">
        <f>'As-Filed Schedule 2B'!F31</f>
        <v>0</v>
      </c>
      <c r="G31" s="313">
        <f>SUMIFS(Adjustments!$G:$G,Adjustments!$H:$H,"2B",Adjustments!$I:$I,'Schedule 2B Adjustments'!$F$12,Adjustments!$J:$J,'Schedule 2B Adjustments'!$A31)</f>
        <v>0</v>
      </c>
      <c r="H31" s="309">
        <f t="shared" si="0"/>
        <v>0</v>
      </c>
      <c r="I31" s="68">
        <f>IFERROR(F31*'As-Filed Schedule 1'!$E$103,0)</f>
        <v>0</v>
      </c>
      <c r="J31" s="310">
        <f>IFERROR(H31*'Adjusted Schedule 1'!$E$104,0)</f>
        <v>0</v>
      </c>
      <c r="K31" s="181">
        <f t="shared" si="1"/>
        <v>0</v>
      </c>
      <c r="L31" s="310">
        <f t="shared" si="7"/>
        <v>0</v>
      </c>
      <c r="N31" s="180">
        <f>'As-Filed Schedule 2B'!J31</f>
        <v>0</v>
      </c>
      <c r="O31" s="313">
        <f>SUMIFS(Adjustments!$G:$G,Adjustments!$H:$H,"2B",Adjustments!$I:$I,'Schedule 2B Adjustments'!$N$12,Adjustments!$J:$J,'Schedule 2B Adjustments'!$A31)</f>
        <v>0</v>
      </c>
      <c r="P31" s="309">
        <f t="shared" si="2"/>
        <v>0</v>
      </c>
      <c r="Q31" s="68">
        <f>IFERROR(N31*'As-Filed Schedule 1'!$E$103,0)</f>
        <v>0</v>
      </c>
      <c r="R31" s="310">
        <f>IFERROR(P31*'Adjusted Schedule 1'!$E$104,0)</f>
        <v>0</v>
      </c>
      <c r="S31" s="68">
        <f t="shared" si="3"/>
        <v>0</v>
      </c>
      <c r="T31" s="310">
        <f t="shared" si="4"/>
        <v>0</v>
      </c>
      <c r="V31" s="120">
        <f>'As-Filed Schedule 2B'!N31</f>
        <v>0</v>
      </c>
      <c r="W31" s="313">
        <f>SUMIFS(Adjustments!$G:$G,Adjustments!$H:$H,"2B",Adjustments!$I:$I,'Schedule 2B Adjustments'!$V$12,Adjustments!$J:$J,'Schedule 2B Adjustments'!$A31)</f>
        <v>0</v>
      </c>
      <c r="X31" s="326">
        <f t="shared" si="5"/>
        <v>0</v>
      </c>
      <c r="Y31" s="120">
        <f>'As-Filed Schedule 2B'!O31</f>
        <v>0</v>
      </c>
      <c r="Z31" s="313">
        <f>SUMIFS(Adjustments!$G:$G,Adjustments!$H:$H,"2B",Adjustments!$I:$I,'Schedule 2B Adjustments'!$Y$12,Adjustments!$J:$J,'Schedule 2B Adjustments'!$A31)</f>
        <v>0</v>
      </c>
      <c r="AA31" s="326">
        <f t="shared" si="6"/>
        <v>0</v>
      </c>
    </row>
    <row r="32" spans="1:27" x14ac:dyDescent="0.35">
      <c r="A32" s="24">
        <v>18</v>
      </c>
      <c r="B32" s="507" t="str">
        <f>IF('As-Filed Schedule 2B'!B32:D32=0,"",'As-Filed Schedule 2B'!B32:D32)</f>
        <v/>
      </c>
      <c r="C32" s="507"/>
      <c r="D32" s="507"/>
      <c r="F32" s="117">
        <f>'As-Filed Schedule 2B'!F32</f>
        <v>0</v>
      </c>
      <c r="G32" s="313">
        <f>SUMIFS(Adjustments!$G:$G,Adjustments!$H:$H,"2B",Adjustments!$I:$I,'Schedule 2B Adjustments'!$F$12,Adjustments!$J:$J,'Schedule 2B Adjustments'!$A32)</f>
        <v>0</v>
      </c>
      <c r="H32" s="309">
        <f t="shared" si="0"/>
        <v>0</v>
      </c>
      <c r="I32" s="68">
        <f>IFERROR(F32*'As-Filed Schedule 1'!$E$103,0)</f>
        <v>0</v>
      </c>
      <c r="J32" s="310">
        <f>IFERROR(H32*'Adjusted Schedule 1'!$E$104,0)</f>
        <v>0</v>
      </c>
      <c r="K32" s="181">
        <f t="shared" si="1"/>
        <v>0</v>
      </c>
      <c r="L32" s="310">
        <f t="shared" si="7"/>
        <v>0</v>
      </c>
      <c r="N32" s="180">
        <f>'As-Filed Schedule 2B'!J32</f>
        <v>0</v>
      </c>
      <c r="O32" s="313">
        <f>SUMIFS(Adjustments!$G:$G,Adjustments!$H:$H,"2B",Adjustments!$I:$I,'Schedule 2B Adjustments'!$N$12,Adjustments!$J:$J,'Schedule 2B Adjustments'!$A32)</f>
        <v>0</v>
      </c>
      <c r="P32" s="309">
        <f t="shared" si="2"/>
        <v>0</v>
      </c>
      <c r="Q32" s="68">
        <f>IFERROR(N32*'As-Filed Schedule 1'!$E$103,0)</f>
        <v>0</v>
      </c>
      <c r="R32" s="310">
        <f>IFERROR(P32*'Adjusted Schedule 1'!$E$104,0)</f>
        <v>0</v>
      </c>
      <c r="S32" s="68">
        <f t="shared" si="3"/>
        <v>0</v>
      </c>
      <c r="T32" s="310">
        <f t="shared" si="4"/>
        <v>0</v>
      </c>
      <c r="V32" s="120">
        <f>'As-Filed Schedule 2B'!N32</f>
        <v>0</v>
      </c>
      <c r="W32" s="313">
        <f>SUMIFS(Adjustments!$G:$G,Adjustments!$H:$H,"2B",Adjustments!$I:$I,'Schedule 2B Adjustments'!$V$12,Adjustments!$J:$J,'Schedule 2B Adjustments'!$A32)</f>
        <v>0</v>
      </c>
      <c r="X32" s="326">
        <f t="shared" si="5"/>
        <v>0</v>
      </c>
      <c r="Y32" s="120">
        <f>'As-Filed Schedule 2B'!O32</f>
        <v>0</v>
      </c>
      <c r="Z32" s="313">
        <f>SUMIFS(Adjustments!$G:$G,Adjustments!$H:$H,"2B",Adjustments!$I:$I,'Schedule 2B Adjustments'!$Y$12,Adjustments!$J:$J,'Schedule 2B Adjustments'!$A32)</f>
        <v>0</v>
      </c>
      <c r="AA32" s="326">
        <f t="shared" si="6"/>
        <v>0</v>
      </c>
    </row>
    <row r="33" spans="1:27" x14ac:dyDescent="0.35">
      <c r="A33" s="24">
        <v>19</v>
      </c>
      <c r="B33" s="507" t="str">
        <f>IF('As-Filed Schedule 2B'!B33:D33=0,"",'As-Filed Schedule 2B'!B33:D33)</f>
        <v/>
      </c>
      <c r="C33" s="507"/>
      <c r="D33" s="507"/>
      <c r="F33" s="117">
        <f>'As-Filed Schedule 2B'!F33</f>
        <v>0</v>
      </c>
      <c r="G33" s="313">
        <f>SUMIFS(Adjustments!$G:$G,Adjustments!$H:$H,"2B",Adjustments!$I:$I,'Schedule 2B Adjustments'!$F$12,Adjustments!$J:$J,'Schedule 2B Adjustments'!$A33)</f>
        <v>0</v>
      </c>
      <c r="H33" s="309">
        <f t="shared" si="0"/>
        <v>0</v>
      </c>
      <c r="I33" s="68">
        <f>IFERROR(F33*'As-Filed Schedule 1'!$E$103,0)</f>
        <v>0</v>
      </c>
      <c r="J33" s="310">
        <f>IFERROR(H33*'Adjusted Schedule 1'!$E$104,0)</f>
        <v>0</v>
      </c>
      <c r="K33" s="181">
        <f t="shared" si="1"/>
        <v>0</v>
      </c>
      <c r="L33" s="310">
        <f t="shared" si="7"/>
        <v>0</v>
      </c>
      <c r="N33" s="180">
        <f>'As-Filed Schedule 2B'!J33</f>
        <v>0</v>
      </c>
      <c r="O33" s="313">
        <f>SUMIFS(Adjustments!$G:$G,Adjustments!$H:$H,"2B",Adjustments!$I:$I,'Schedule 2B Adjustments'!$N$12,Adjustments!$J:$J,'Schedule 2B Adjustments'!$A33)</f>
        <v>0</v>
      </c>
      <c r="P33" s="309">
        <f t="shared" si="2"/>
        <v>0</v>
      </c>
      <c r="Q33" s="68">
        <f>IFERROR(N33*'As-Filed Schedule 1'!$E$103,0)</f>
        <v>0</v>
      </c>
      <c r="R33" s="310">
        <f>IFERROR(P33*'Adjusted Schedule 1'!$E$104,0)</f>
        <v>0</v>
      </c>
      <c r="S33" s="68">
        <f t="shared" si="3"/>
        <v>0</v>
      </c>
      <c r="T33" s="310">
        <f t="shared" si="4"/>
        <v>0</v>
      </c>
      <c r="V33" s="120">
        <f>'As-Filed Schedule 2B'!N33</f>
        <v>0</v>
      </c>
      <c r="W33" s="313">
        <f>SUMIFS(Adjustments!$G:$G,Adjustments!$H:$H,"2B",Adjustments!$I:$I,'Schedule 2B Adjustments'!$V$12,Adjustments!$J:$J,'Schedule 2B Adjustments'!$A33)</f>
        <v>0</v>
      </c>
      <c r="X33" s="326">
        <f t="shared" si="5"/>
        <v>0</v>
      </c>
      <c r="Y33" s="120">
        <f>'As-Filed Schedule 2B'!O33</f>
        <v>0</v>
      </c>
      <c r="Z33" s="313">
        <f>SUMIFS(Adjustments!$G:$G,Adjustments!$H:$H,"2B",Adjustments!$I:$I,'Schedule 2B Adjustments'!$Y$12,Adjustments!$J:$J,'Schedule 2B Adjustments'!$A33)</f>
        <v>0</v>
      </c>
      <c r="AA33" s="326">
        <f t="shared" si="6"/>
        <v>0</v>
      </c>
    </row>
    <row r="34" spans="1:27" x14ac:dyDescent="0.35">
      <c r="A34" s="24">
        <v>20</v>
      </c>
      <c r="B34" s="507" t="str">
        <f>IF('As-Filed Schedule 2B'!B34:D34=0,"",'As-Filed Schedule 2B'!B34:D34)</f>
        <v/>
      </c>
      <c r="C34" s="507"/>
      <c r="D34" s="507"/>
      <c r="F34" s="117">
        <f>'As-Filed Schedule 2B'!F34</f>
        <v>0</v>
      </c>
      <c r="G34" s="313">
        <f>SUMIFS(Adjustments!$G:$G,Adjustments!$H:$H,"2B",Adjustments!$I:$I,'Schedule 2B Adjustments'!$F$12,Adjustments!$J:$J,'Schedule 2B Adjustments'!$A34)</f>
        <v>0</v>
      </c>
      <c r="H34" s="309">
        <f t="shared" si="0"/>
        <v>0</v>
      </c>
      <c r="I34" s="68">
        <f>IFERROR(F34*'As-Filed Schedule 1'!$E$103,0)</f>
        <v>0</v>
      </c>
      <c r="J34" s="310">
        <f>IFERROR(H34*'Adjusted Schedule 1'!$E$104,0)</f>
        <v>0</v>
      </c>
      <c r="K34" s="181">
        <f t="shared" si="1"/>
        <v>0</v>
      </c>
      <c r="L34" s="310">
        <f t="shared" si="7"/>
        <v>0</v>
      </c>
      <c r="N34" s="180">
        <f>'As-Filed Schedule 2B'!J34</f>
        <v>0</v>
      </c>
      <c r="O34" s="313">
        <f>SUMIFS(Adjustments!$G:$G,Adjustments!$H:$H,"2B",Adjustments!$I:$I,'Schedule 2B Adjustments'!$N$12,Adjustments!$J:$J,'Schedule 2B Adjustments'!$A34)</f>
        <v>0</v>
      </c>
      <c r="P34" s="309">
        <f t="shared" si="2"/>
        <v>0</v>
      </c>
      <c r="Q34" s="68">
        <f>IFERROR(N34*'As-Filed Schedule 1'!$E$103,0)</f>
        <v>0</v>
      </c>
      <c r="R34" s="310">
        <f>IFERROR(P34*'Adjusted Schedule 1'!$E$104,0)</f>
        <v>0</v>
      </c>
      <c r="S34" s="68">
        <f t="shared" si="3"/>
        <v>0</v>
      </c>
      <c r="T34" s="310">
        <f t="shared" si="4"/>
        <v>0</v>
      </c>
      <c r="V34" s="120">
        <f>'As-Filed Schedule 2B'!N34</f>
        <v>0</v>
      </c>
      <c r="W34" s="313">
        <f>SUMIFS(Adjustments!$G:$G,Adjustments!$H:$H,"2B",Adjustments!$I:$I,'Schedule 2B Adjustments'!$V$12,Adjustments!$J:$J,'Schedule 2B Adjustments'!$A34)</f>
        <v>0</v>
      </c>
      <c r="X34" s="326">
        <f t="shared" si="5"/>
        <v>0</v>
      </c>
      <c r="Y34" s="120">
        <f>'As-Filed Schedule 2B'!O34</f>
        <v>0</v>
      </c>
      <c r="Z34" s="313">
        <f>SUMIFS(Adjustments!$G:$G,Adjustments!$H:$H,"2B",Adjustments!$I:$I,'Schedule 2B Adjustments'!$Y$12,Adjustments!$J:$J,'Schedule 2B Adjustments'!$A34)</f>
        <v>0</v>
      </c>
      <c r="AA34" s="326">
        <f t="shared" si="6"/>
        <v>0</v>
      </c>
    </row>
    <row r="35" spans="1:27" x14ac:dyDescent="0.35">
      <c r="A35" s="24">
        <v>21</v>
      </c>
      <c r="B35" s="507" t="str">
        <f>IF('As-Filed Schedule 2B'!B35:D35=0,"",'As-Filed Schedule 2B'!B35:D35)</f>
        <v/>
      </c>
      <c r="C35" s="507"/>
      <c r="D35" s="507"/>
      <c r="F35" s="117">
        <f>'As-Filed Schedule 2B'!F35</f>
        <v>0</v>
      </c>
      <c r="G35" s="313">
        <f>SUMIFS(Adjustments!$G:$G,Adjustments!$H:$H,"2B",Adjustments!$I:$I,'Schedule 2B Adjustments'!$F$12,Adjustments!$J:$J,'Schedule 2B Adjustments'!$A35)</f>
        <v>0</v>
      </c>
      <c r="H35" s="309">
        <f t="shared" si="0"/>
        <v>0</v>
      </c>
      <c r="I35" s="68">
        <f>IFERROR(F35*'As-Filed Schedule 1'!$E$103,0)</f>
        <v>0</v>
      </c>
      <c r="J35" s="310">
        <f>IFERROR(H35*'Adjusted Schedule 1'!$E$104,0)</f>
        <v>0</v>
      </c>
      <c r="K35" s="181">
        <f t="shared" si="1"/>
        <v>0</v>
      </c>
      <c r="L35" s="310">
        <f t="shared" si="7"/>
        <v>0</v>
      </c>
      <c r="N35" s="180">
        <f>'As-Filed Schedule 2B'!J35</f>
        <v>0</v>
      </c>
      <c r="O35" s="313">
        <f>SUMIFS(Adjustments!$G:$G,Adjustments!$H:$H,"2B",Adjustments!$I:$I,'Schedule 2B Adjustments'!$N$12,Adjustments!$J:$J,'Schedule 2B Adjustments'!$A35)</f>
        <v>0</v>
      </c>
      <c r="P35" s="309">
        <f t="shared" si="2"/>
        <v>0</v>
      </c>
      <c r="Q35" s="68">
        <f>IFERROR(N35*'As-Filed Schedule 1'!$E$103,0)</f>
        <v>0</v>
      </c>
      <c r="R35" s="310">
        <f>IFERROR(P35*'Adjusted Schedule 1'!$E$104,0)</f>
        <v>0</v>
      </c>
      <c r="S35" s="68">
        <f t="shared" si="3"/>
        <v>0</v>
      </c>
      <c r="T35" s="310">
        <f t="shared" si="4"/>
        <v>0</v>
      </c>
      <c r="V35" s="120">
        <f>'As-Filed Schedule 2B'!N35</f>
        <v>0</v>
      </c>
      <c r="W35" s="313">
        <f>SUMIFS(Adjustments!$G:$G,Adjustments!$H:$H,"2B",Adjustments!$I:$I,'Schedule 2B Adjustments'!$V$12,Adjustments!$J:$J,'Schedule 2B Adjustments'!$A35)</f>
        <v>0</v>
      </c>
      <c r="X35" s="326">
        <f t="shared" si="5"/>
        <v>0</v>
      </c>
      <c r="Y35" s="120">
        <f>'As-Filed Schedule 2B'!O35</f>
        <v>0</v>
      </c>
      <c r="Z35" s="313">
        <f>SUMIFS(Adjustments!$G:$G,Adjustments!$H:$H,"2B",Adjustments!$I:$I,'Schedule 2B Adjustments'!$Y$12,Adjustments!$J:$J,'Schedule 2B Adjustments'!$A35)</f>
        <v>0</v>
      </c>
      <c r="AA35" s="326">
        <f t="shared" si="6"/>
        <v>0</v>
      </c>
    </row>
    <row r="36" spans="1:27" x14ac:dyDescent="0.35">
      <c r="A36" s="24">
        <v>22</v>
      </c>
      <c r="B36" s="507" t="str">
        <f>IF('As-Filed Schedule 2B'!B36:D36=0,"",'As-Filed Schedule 2B'!B36:D36)</f>
        <v/>
      </c>
      <c r="C36" s="507"/>
      <c r="D36" s="507"/>
      <c r="F36" s="117">
        <f>'As-Filed Schedule 2B'!F36</f>
        <v>0</v>
      </c>
      <c r="G36" s="313">
        <f>SUMIFS(Adjustments!$G:$G,Adjustments!$H:$H,"2B",Adjustments!$I:$I,'Schedule 2B Adjustments'!$F$12,Adjustments!$J:$J,'Schedule 2B Adjustments'!$A36)</f>
        <v>0</v>
      </c>
      <c r="H36" s="309">
        <f t="shared" si="0"/>
        <v>0</v>
      </c>
      <c r="I36" s="68">
        <f>IFERROR(F36*'As-Filed Schedule 1'!$E$103,0)</f>
        <v>0</v>
      </c>
      <c r="J36" s="310">
        <f>IFERROR(H36*'Adjusted Schedule 1'!$E$104,0)</f>
        <v>0</v>
      </c>
      <c r="K36" s="181">
        <f t="shared" si="1"/>
        <v>0</v>
      </c>
      <c r="L36" s="310">
        <f t="shared" si="7"/>
        <v>0</v>
      </c>
      <c r="N36" s="180">
        <f>'As-Filed Schedule 2B'!J36</f>
        <v>0</v>
      </c>
      <c r="O36" s="313">
        <f>SUMIFS(Adjustments!$G:$G,Adjustments!$H:$H,"2B",Adjustments!$I:$I,'Schedule 2B Adjustments'!$N$12,Adjustments!$J:$J,'Schedule 2B Adjustments'!$A36)</f>
        <v>0</v>
      </c>
      <c r="P36" s="309">
        <f t="shared" si="2"/>
        <v>0</v>
      </c>
      <c r="Q36" s="68">
        <f>IFERROR(N36*'As-Filed Schedule 1'!$E$103,0)</f>
        <v>0</v>
      </c>
      <c r="R36" s="310">
        <f>IFERROR(P36*'Adjusted Schedule 1'!$E$104,0)</f>
        <v>0</v>
      </c>
      <c r="S36" s="68">
        <f t="shared" si="3"/>
        <v>0</v>
      </c>
      <c r="T36" s="310">
        <f t="shared" si="4"/>
        <v>0</v>
      </c>
      <c r="V36" s="120">
        <f>'As-Filed Schedule 2B'!N36</f>
        <v>0</v>
      </c>
      <c r="W36" s="313">
        <f>SUMIFS(Adjustments!$G:$G,Adjustments!$H:$H,"2B",Adjustments!$I:$I,'Schedule 2B Adjustments'!$V$12,Adjustments!$J:$J,'Schedule 2B Adjustments'!$A36)</f>
        <v>0</v>
      </c>
      <c r="X36" s="326">
        <f t="shared" si="5"/>
        <v>0</v>
      </c>
      <c r="Y36" s="120">
        <f>'As-Filed Schedule 2B'!O36</f>
        <v>0</v>
      </c>
      <c r="Z36" s="313">
        <f>SUMIFS(Adjustments!$G:$G,Adjustments!$H:$H,"2B",Adjustments!$I:$I,'Schedule 2B Adjustments'!$Y$12,Adjustments!$J:$J,'Schedule 2B Adjustments'!$A36)</f>
        <v>0</v>
      </c>
      <c r="AA36" s="326">
        <f t="shared" si="6"/>
        <v>0</v>
      </c>
    </row>
    <row r="37" spans="1:27" x14ac:dyDescent="0.35">
      <c r="A37" s="24">
        <v>23</v>
      </c>
      <c r="B37" s="507" t="str">
        <f>IF('As-Filed Schedule 2B'!B37:D37=0,"",'As-Filed Schedule 2B'!B37:D37)</f>
        <v/>
      </c>
      <c r="C37" s="507"/>
      <c r="D37" s="507"/>
      <c r="F37" s="117">
        <f>'As-Filed Schedule 2B'!F37</f>
        <v>0</v>
      </c>
      <c r="G37" s="313">
        <f>SUMIFS(Adjustments!$G:$G,Adjustments!$H:$H,"2B",Adjustments!$I:$I,'Schedule 2B Adjustments'!$F$12,Adjustments!$J:$J,'Schedule 2B Adjustments'!$A37)</f>
        <v>0</v>
      </c>
      <c r="H37" s="309">
        <f t="shared" si="0"/>
        <v>0</v>
      </c>
      <c r="I37" s="68">
        <f>IFERROR(F37*'As-Filed Schedule 1'!$E$103,0)</f>
        <v>0</v>
      </c>
      <c r="J37" s="310">
        <f>IFERROR(H37*'Adjusted Schedule 1'!$E$104,0)</f>
        <v>0</v>
      </c>
      <c r="K37" s="181">
        <f t="shared" si="1"/>
        <v>0</v>
      </c>
      <c r="L37" s="310">
        <f t="shared" si="7"/>
        <v>0</v>
      </c>
      <c r="N37" s="180">
        <f>'As-Filed Schedule 2B'!J37</f>
        <v>0</v>
      </c>
      <c r="O37" s="313">
        <f>SUMIFS(Adjustments!$G:$G,Adjustments!$H:$H,"2B",Adjustments!$I:$I,'Schedule 2B Adjustments'!$N$12,Adjustments!$J:$J,'Schedule 2B Adjustments'!$A37)</f>
        <v>0</v>
      </c>
      <c r="P37" s="309">
        <f t="shared" si="2"/>
        <v>0</v>
      </c>
      <c r="Q37" s="68">
        <f>IFERROR(N37*'As-Filed Schedule 1'!$E$103,0)</f>
        <v>0</v>
      </c>
      <c r="R37" s="310">
        <f>IFERROR(P37*'Adjusted Schedule 1'!$E$104,0)</f>
        <v>0</v>
      </c>
      <c r="S37" s="68">
        <f t="shared" si="3"/>
        <v>0</v>
      </c>
      <c r="T37" s="310">
        <f t="shared" si="4"/>
        <v>0</v>
      </c>
      <c r="V37" s="120">
        <f>'As-Filed Schedule 2B'!N37</f>
        <v>0</v>
      </c>
      <c r="W37" s="313">
        <f>SUMIFS(Adjustments!$G:$G,Adjustments!$H:$H,"2B",Adjustments!$I:$I,'Schedule 2B Adjustments'!$V$12,Adjustments!$J:$J,'Schedule 2B Adjustments'!$A37)</f>
        <v>0</v>
      </c>
      <c r="X37" s="326">
        <f t="shared" si="5"/>
        <v>0</v>
      </c>
      <c r="Y37" s="120">
        <f>'As-Filed Schedule 2B'!O37</f>
        <v>0</v>
      </c>
      <c r="Z37" s="313">
        <f>SUMIFS(Adjustments!$G:$G,Adjustments!$H:$H,"2B",Adjustments!$I:$I,'Schedule 2B Adjustments'!$Y$12,Adjustments!$J:$J,'Schedule 2B Adjustments'!$A37)</f>
        <v>0</v>
      </c>
      <c r="AA37" s="326">
        <f t="shared" si="6"/>
        <v>0</v>
      </c>
    </row>
    <row r="38" spans="1:27" x14ac:dyDescent="0.35">
      <c r="A38" s="24">
        <v>24</v>
      </c>
      <c r="B38" s="507" t="str">
        <f>IF('As-Filed Schedule 2B'!B38:D38=0,"",'As-Filed Schedule 2B'!B38:D38)</f>
        <v/>
      </c>
      <c r="C38" s="507"/>
      <c r="D38" s="507"/>
      <c r="F38" s="117">
        <f>'As-Filed Schedule 2B'!F38</f>
        <v>0</v>
      </c>
      <c r="G38" s="313">
        <f>SUMIFS(Adjustments!$G:$G,Adjustments!$H:$H,"2B",Adjustments!$I:$I,'Schedule 2B Adjustments'!$F$12,Adjustments!$J:$J,'Schedule 2B Adjustments'!$A38)</f>
        <v>0</v>
      </c>
      <c r="H38" s="309">
        <f t="shared" si="0"/>
        <v>0</v>
      </c>
      <c r="I38" s="68">
        <f>IFERROR(F38*'As-Filed Schedule 1'!$E$103,0)</f>
        <v>0</v>
      </c>
      <c r="J38" s="310">
        <f>IFERROR(H38*'Adjusted Schedule 1'!$E$104,0)</f>
        <v>0</v>
      </c>
      <c r="K38" s="181">
        <f t="shared" si="1"/>
        <v>0</v>
      </c>
      <c r="L38" s="310">
        <f t="shared" si="7"/>
        <v>0</v>
      </c>
      <c r="N38" s="180">
        <f>'As-Filed Schedule 2B'!J38</f>
        <v>0</v>
      </c>
      <c r="O38" s="313">
        <f>SUMIFS(Adjustments!$G:$G,Adjustments!$H:$H,"2B",Adjustments!$I:$I,'Schedule 2B Adjustments'!$N$12,Adjustments!$J:$J,'Schedule 2B Adjustments'!$A38)</f>
        <v>0</v>
      </c>
      <c r="P38" s="309">
        <f t="shared" si="2"/>
        <v>0</v>
      </c>
      <c r="Q38" s="68">
        <f>IFERROR(N38*'As-Filed Schedule 1'!$E$103,0)</f>
        <v>0</v>
      </c>
      <c r="R38" s="310">
        <f>IFERROR(P38*'Adjusted Schedule 1'!$E$104,0)</f>
        <v>0</v>
      </c>
      <c r="S38" s="68">
        <f t="shared" si="3"/>
        <v>0</v>
      </c>
      <c r="T38" s="310">
        <f t="shared" si="4"/>
        <v>0</v>
      </c>
      <c r="V38" s="120">
        <f>'As-Filed Schedule 2B'!N38</f>
        <v>0</v>
      </c>
      <c r="W38" s="313">
        <f>SUMIFS(Adjustments!$G:$G,Adjustments!$H:$H,"2B",Adjustments!$I:$I,'Schedule 2B Adjustments'!$V$12,Adjustments!$J:$J,'Schedule 2B Adjustments'!$A38)</f>
        <v>0</v>
      </c>
      <c r="X38" s="326">
        <f t="shared" si="5"/>
        <v>0</v>
      </c>
      <c r="Y38" s="120">
        <f>'As-Filed Schedule 2B'!O38</f>
        <v>0</v>
      </c>
      <c r="Z38" s="313">
        <f>SUMIFS(Adjustments!$G:$G,Adjustments!$H:$H,"2B",Adjustments!$I:$I,'Schedule 2B Adjustments'!$Y$12,Adjustments!$J:$J,'Schedule 2B Adjustments'!$A38)</f>
        <v>0</v>
      </c>
      <c r="AA38" s="326">
        <f t="shared" si="6"/>
        <v>0</v>
      </c>
    </row>
    <row r="39" spans="1:27" x14ac:dyDescent="0.35">
      <c r="A39" s="24">
        <v>25</v>
      </c>
      <c r="B39" s="507" t="str">
        <f>IF('As-Filed Schedule 2B'!B39:D39=0,"",'As-Filed Schedule 2B'!B39:D39)</f>
        <v/>
      </c>
      <c r="C39" s="507"/>
      <c r="D39" s="507"/>
      <c r="F39" s="117">
        <f>'As-Filed Schedule 2B'!F39</f>
        <v>0</v>
      </c>
      <c r="G39" s="313">
        <f>SUMIFS(Adjustments!$G:$G,Adjustments!$H:$H,"2B",Adjustments!$I:$I,'Schedule 2B Adjustments'!$F$12,Adjustments!$J:$J,'Schedule 2B Adjustments'!$A39)</f>
        <v>0</v>
      </c>
      <c r="H39" s="309">
        <f t="shared" si="0"/>
        <v>0</v>
      </c>
      <c r="I39" s="68">
        <f>IFERROR(F39*'As-Filed Schedule 1'!$E$103,0)</f>
        <v>0</v>
      </c>
      <c r="J39" s="310">
        <f>IFERROR(H39*'Adjusted Schedule 1'!$E$104,0)</f>
        <v>0</v>
      </c>
      <c r="K39" s="181">
        <f t="shared" si="1"/>
        <v>0</v>
      </c>
      <c r="L39" s="310">
        <f t="shared" si="7"/>
        <v>0</v>
      </c>
      <c r="N39" s="180">
        <f>'As-Filed Schedule 2B'!J39</f>
        <v>0</v>
      </c>
      <c r="O39" s="313">
        <f>SUMIFS(Adjustments!$G:$G,Adjustments!$H:$H,"2B",Adjustments!$I:$I,'Schedule 2B Adjustments'!$N$12,Adjustments!$J:$J,'Schedule 2B Adjustments'!$A39)</f>
        <v>0</v>
      </c>
      <c r="P39" s="309">
        <f t="shared" si="2"/>
        <v>0</v>
      </c>
      <c r="Q39" s="68">
        <f>IFERROR(N39*'As-Filed Schedule 1'!$E$103,0)</f>
        <v>0</v>
      </c>
      <c r="R39" s="310">
        <f>IFERROR(P39*'Adjusted Schedule 1'!$E$104,0)</f>
        <v>0</v>
      </c>
      <c r="S39" s="68">
        <f t="shared" si="3"/>
        <v>0</v>
      </c>
      <c r="T39" s="310">
        <f t="shared" si="4"/>
        <v>0</v>
      </c>
      <c r="V39" s="120">
        <f>'As-Filed Schedule 2B'!N39</f>
        <v>0</v>
      </c>
      <c r="W39" s="313">
        <f>SUMIFS(Adjustments!$G:$G,Adjustments!$H:$H,"2B",Adjustments!$I:$I,'Schedule 2B Adjustments'!$V$12,Adjustments!$J:$J,'Schedule 2B Adjustments'!$A39)</f>
        <v>0</v>
      </c>
      <c r="X39" s="326">
        <f t="shared" si="5"/>
        <v>0</v>
      </c>
      <c r="Y39" s="120">
        <f>'As-Filed Schedule 2B'!O39</f>
        <v>0</v>
      </c>
      <c r="Z39" s="313">
        <f>SUMIFS(Adjustments!$G:$G,Adjustments!$H:$H,"2B",Adjustments!$I:$I,'Schedule 2B Adjustments'!$Y$12,Adjustments!$J:$J,'Schedule 2B Adjustments'!$A39)</f>
        <v>0</v>
      </c>
      <c r="AA39" s="326">
        <f t="shared" si="6"/>
        <v>0</v>
      </c>
    </row>
    <row r="40" spans="1:27" x14ac:dyDescent="0.35">
      <c r="A40" s="24">
        <v>26</v>
      </c>
      <c r="B40" s="507" t="str">
        <f>IF('As-Filed Schedule 2B'!B40:D40=0,"",'As-Filed Schedule 2B'!B40:D40)</f>
        <v/>
      </c>
      <c r="C40" s="507"/>
      <c r="D40" s="507"/>
      <c r="F40" s="117">
        <f>'As-Filed Schedule 2B'!F40</f>
        <v>0</v>
      </c>
      <c r="G40" s="313">
        <f>SUMIFS(Adjustments!$G:$G,Adjustments!$H:$H,"2B",Adjustments!$I:$I,'Schedule 2B Adjustments'!$F$12,Adjustments!$J:$J,'Schedule 2B Adjustments'!$A40)</f>
        <v>0</v>
      </c>
      <c r="H40" s="309">
        <f t="shared" si="0"/>
        <v>0</v>
      </c>
      <c r="I40" s="68">
        <f>IFERROR(F40*'As-Filed Schedule 1'!$E$103,0)</f>
        <v>0</v>
      </c>
      <c r="J40" s="310">
        <f>IFERROR(H40*'Adjusted Schedule 1'!$E$104,0)</f>
        <v>0</v>
      </c>
      <c r="K40" s="181">
        <f t="shared" si="1"/>
        <v>0</v>
      </c>
      <c r="L40" s="310">
        <f t="shared" si="7"/>
        <v>0</v>
      </c>
      <c r="N40" s="180">
        <f>'As-Filed Schedule 2B'!J40</f>
        <v>0</v>
      </c>
      <c r="O40" s="313">
        <f>SUMIFS(Adjustments!$G:$G,Adjustments!$H:$H,"2B",Adjustments!$I:$I,'Schedule 2B Adjustments'!$N$12,Adjustments!$J:$J,'Schedule 2B Adjustments'!$A40)</f>
        <v>0</v>
      </c>
      <c r="P40" s="309">
        <f t="shared" si="2"/>
        <v>0</v>
      </c>
      <c r="Q40" s="68">
        <f>IFERROR(N40*'As-Filed Schedule 1'!$E$103,0)</f>
        <v>0</v>
      </c>
      <c r="R40" s="310">
        <f>IFERROR(P40*'Adjusted Schedule 1'!$E$104,0)</f>
        <v>0</v>
      </c>
      <c r="S40" s="68">
        <f t="shared" si="3"/>
        <v>0</v>
      </c>
      <c r="T40" s="310">
        <f t="shared" si="4"/>
        <v>0</v>
      </c>
      <c r="V40" s="120">
        <f>'As-Filed Schedule 2B'!N40</f>
        <v>0</v>
      </c>
      <c r="W40" s="313">
        <f>SUMIFS(Adjustments!$G:$G,Adjustments!$H:$H,"2B",Adjustments!$I:$I,'Schedule 2B Adjustments'!$V$12,Adjustments!$J:$J,'Schedule 2B Adjustments'!$A40)</f>
        <v>0</v>
      </c>
      <c r="X40" s="326">
        <f t="shared" si="5"/>
        <v>0</v>
      </c>
      <c r="Y40" s="120">
        <f>'As-Filed Schedule 2B'!O40</f>
        <v>0</v>
      </c>
      <c r="Z40" s="313">
        <f>SUMIFS(Adjustments!$G:$G,Adjustments!$H:$H,"2B",Adjustments!$I:$I,'Schedule 2B Adjustments'!$Y$12,Adjustments!$J:$J,'Schedule 2B Adjustments'!$A40)</f>
        <v>0</v>
      </c>
      <c r="AA40" s="326">
        <f t="shared" si="6"/>
        <v>0</v>
      </c>
    </row>
    <row r="41" spans="1:27" x14ac:dyDescent="0.35">
      <c r="A41" s="24">
        <v>27</v>
      </c>
      <c r="B41" s="507" t="str">
        <f>IF('As-Filed Schedule 2B'!B41:D41=0,"",'As-Filed Schedule 2B'!B41:D41)</f>
        <v/>
      </c>
      <c r="C41" s="507"/>
      <c r="D41" s="507"/>
      <c r="F41" s="117">
        <f>'As-Filed Schedule 2B'!F41</f>
        <v>0</v>
      </c>
      <c r="G41" s="313">
        <f>SUMIFS(Adjustments!$G:$G,Adjustments!$H:$H,"2B",Adjustments!$I:$I,'Schedule 2B Adjustments'!$F$12,Adjustments!$J:$J,'Schedule 2B Adjustments'!$A41)</f>
        <v>0</v>
      </c>
      <c r="H41" s="309">
        <f t="shared" si="0"/>
        <v>0</v>
      </c>
      <c r="I41" s="68">
        <f>IFERROR(F41*'As-Filed Schedule 1'!$E$103,0)</f>
        <v>0</v>
      </c>
      <c r="J41" s="310">
        <f>IFERROR(H41*'Adjusted Schedule 1'!$E$104,0)</f>
        <v>0</v>
      </c>
      <c r="K41" s="181">
        <f t="shared" si="1"/>
        <v>0</v>
      </c>
      <c r="L41" s="310">
        <f t="shared" si="7"/>
        <v>0</v>
      </c>
      <c r="N41" s="180">
        <f>'As-Filed Schedule 2B'!J41</f>
        <v>0</v>
      </c>
      <c r="O41" s="313">
        <f>SUMIFS(Adjustments!$G:$G,Adjustments!$H:$H,"2B",Adjustments!$I:$I,'Schedule 2B Adjustments'!$N$12,Adjustments!$J:$J,'Schedule 2B Adjustments'!$A41)</f>
        <v>0</v>
      </c>
      <c r="P41" s="309">
        <f t="shared" si="2"/>
        <v>0</v>
      </c>
      <c r="Q41" s="68">
        <f>IFERROR(N41*'As-Filed Schedule 1'!$E$103,0)</f>
        <v>0</v>
      </c>
      <c r="R41" s="310">
        <f>IFERROR(P41*'Adjusted Schedule 1'!$E$104,0)</f>
        <v>0</v>
      </c>
      <c r="S41" s="68">
        <f t="shared" si="3"/>
        <v>0</v>
      </c>
      <c r="T41" s="310">
        <f t="shared" si="4"/>
        <v>0</v>
      </c>
      <c r="V41" s="120">
        <f>'As-Filed Schedule 2B'!N41</f>
        <v>0</v>
      </c>
      <c r="W41" s="313">
        <f>SUMIFS(Adjustments!$G:$G,Adjustments!$H:$H,"2B",Adjustments!$I:$I,'Schedule 2B Adjustments'!$V$12,Adjustments!$J:$J,'Schedule 2B Adjustments'!$A41)</f>
        <v>0</v>
      </c>
      <c r="X41" s="326">
        <f t="shared" si="5"/>
        <v>0</v>
      </c>
      <c r="Y41" s="120">
        <f>'As-Filed Schedule 2B'!O41</f>
        <v>0</v>
      </c>
      <c r="Z41" s="313">
        <f>SUMIFS(Adjustments!$G:$G,Adjustments!$H:$H,"2B",Adjustments!$I:$I,'Schedule 2B Adjustments'!$Y$12,Adjustments!$J:$J,'Schedule 2B Adjustments'!$A41)</f>
        <v>0</v>
      </c>
      <c r="AA41" s="326">
        <f t="shared" si="6"/>
        <v>0</v>
      </c>
    </row>
    <row r="42" spans="1:27" x14ac:dyDescent="0.35">
      <c r="A42" s="24">
        <v>28</v>
      </c>
      <c r="B42" s="507" t="str">
        <f>IF('As-Filed Schedule 2B'!B42:D42=0,"",'As-Filed Schedule 2B'!B42:D42)</f>
        <v/>
      </c>
      <c r="C42" s="507"/>
      <c r="D42" s="507"/>
      <c r="F42" s="117">
        <f>'As-Filed Schedule 2B'!F42</f>
        <v>0</v>
      </c>
      <c r="G42" s="313">
        <f>SUMIFS(Adjustments!$G:$G,Adjustments!$H:$H,"2B",Adjustments!$I:$I,'Schedule 2B Adjustments'!$F$12,Adjustments!$J:$J,'Schedule 2B Adjustments'!$A42)</f>
        <v>0</v>
      </c>
      <c r="H42" s="309">
        <f t="shared" si="0"/>
        <v>0</v>
      </c>
      <c r="I42" s="68">
        <f>IFERROR(F42*'As-Filed Schedule 1'!$E$103,0)</f>
        <v>0</v>
      </c>
      <c r="J42" s="310">
        <f>IFERROR(H42*'Adjusted Schedule 1'!$E$104,0)</f>
        <v>0</v>
      </c>
      <c r="K42" s="181">
        <f t="shared" si="1"/>
        <v>0</v>
      </c>
      <c r="L42" s="310">
        <f t="shared" si="7"/>
        <v>0</v>
      </c>
      <c r="N42" s="180">
        <f>'As-Filed Schedule 2B'!J42</f>
        <v>0</v>
      </c>
      <c r="O42" s="313">
        <f>SUMIFS(Adjustments!$G:$G,Adjustments!$H:$H,"2B",Adjustments!$I:$I,'Schedule 2B Adjustments'!$N$12,Adjustments!$J:$J,'Schedule 2B Adjustments'!$A42)</f>
        <v>0</v>
      </c>
      <c r="P42" s="309">
        <f t="shared" si="2"/>
        <v>0</v>
      </c>
      <c r="Q42" s="68">
        <f>IFERROR(N42*'As-Filed Schedule 1'!$E$103,0)</f>
        <v>0</v>
      </c>
      <c r="R42" s="310">
        <f>IFERROR(P42*'Adjusted Schedule 1'!$E$104,0)</f>
        <v>0</v>
      </c>
      <c r="S42" s="68">
        <f t="shared" si="3"/>
        <v>0</v>
      </c>
      <c r="T42" s="310">
        <f t="shared" si="4"/>
        <v>0</v>
      </c>
      <c r="V42" s="120">
        <f>'As-Filed Schedule 2B'!N42</f>
        <v>0</v>
      </c>
      <c r="W42" s="313">
        <f>SUMIFS(Adjustments!$G:$G,Adjustments!$H:$H,"2B",Adjustments!$I:$I,'Schedule 2B Adjustments'!$V$12,Adjustments!$J:$J,'Schedule 2B Adjustments'!$A42)</f>
        <v>0</v>
      </c>
      <c r="X42" s="326">
        <f t="shared" si="5"/>
        <v>0</v>
      </c>
      <c r="Y42" s="120">
        <f>'As-Filed Schedule 2B'!O42</f>
        <v>0</v>
      </c>
      <c r="Z42" s="313">
        <f>SUMIFS(Adjustments!$G:$G,Adjustments!$H:$H,"2B",Adjustments!$I:$I,'Schedule 2B Adjustments'!$Y$12,Adjustments!$J:$J,'Schedule 2B Adjustments'!$A42)</f>
        <v>0</v>
      </c>
      <c r="AA42" s="326">
        <f t="shared" si="6"/>
        <v>0</v>
      </c>
    </row>
    <row r="43" spans="1:27" x14ac:dyDescent="0.35">
      <c r="A43" s="24">
        <v>29</v>
      </c>
      <c r="B43" s="507" t="str">
        <f>IF('As-Filed Schedule 2B'!B43:D43=0,"",'As-Filed Schedule 2B'!B43:D43)</f>
        <v/>
      </c>
      <c r="C43" s="507"/>
      <c r="D43" s="507"/>
      <c r="F43" s="117">
        <f>'As-Filed Schedule 2B'!F43</f>
        <v>0</v>
      </c>
      <c r="G43" s="313">
        <f>SUMIFS(Adjustments!$G:$G,Adjustments!$H:$H,"2B",Adjustments!$I:$I,'Schedule 2B Adjustments'!$F$12,Adjustments!$J:$J,'Schedule 2B Adjustments'!$A43)</f>
        <v>0</v>
      </c>
      <c r="H43" s="309">
        <f t="shared" si="0"/>
        <v>0</v>
      </c>
      <c r="I43" s="68">
        <f>IFERROR(F43*'As-Filed Schedule 1'!$E$103,0)</f>
        <v>0</v>
      </c>
      <c r="J43" s="310">
        <f>IFERROR(H43*'Adjusted Schedule 1'!$E$104,0)</f>
        <v>0</v>
      </c>
      <c r="K43" s="181">
        <f t="shared" si="1"/>
        <v>0</v>
      </c>
      <c r="L43" s="310">
        <f t="shared" si="7"/>
        <v>0</v>
      </c>
      <c r="N43" s="180">
        <f>'As-Filed Schedule 2B'!J43</f>
        <v>0</v>
      </c>
      <c r="O43" s="313">
        <f>SUMIFS(Adjustments!$G:$G,Adjustments!$H:$H,"2B",Adjustments!$I:$I,'Schedule 2B Adjustments'!$N$12,Adjustments!$J:$J,'Schedule 2B Adjustments'!$A43)</f>
        <v>0</v>
      </c>
      <c r="P43" s="309">
        <f t="shared" si="2"/>
        <v>0</v>
      </c>
      <c r="Q43" s="68">
        <f>IFERROR(N43*'As-Filed Schedule 1'!$E$103,0)</f>
        <v>0</v>
      </c>
      <c r="R43" s="310">
        <f>IFERROR(P43*'Adjusted Schedule 1'!$E$104,0)</f>
        <v>0</v>
      </c>
      <c r="S43" s="68">
        <f t="shared" si="3"/>
        <v>0</v>
      </c>
      <c r="T43" s="310">
        <f t="shared" si="4"/>
        <v>0</v>
      </c>
      <c r="V43" s="120">
        <f>'As-Filed Schedule 2B'!N43</f>
        <v>0</v>
      </c>
      <c r="W43" s="313">
        <f>SUMIFS(Adjustments!$G:$G,Adjustments!$H:$H,"2B",Adjustments!$I:$I,'Schedule 2B Adjustments'!$V$12,Adjustments!$J:$J,'Schedule 2B Adjustments'!$A43)</f>
        <v>0</v>
      </c>
      <c r="X43" s="326">
        <f t="shared" si="5"/>
        <v>0</v>
      </c>
      <c r="Y43" s="120">
        <f>'As-Filed Schedule 2B'!O43</f>
        <v>0</v>
      </c>
      <c r="Z43" s="313">
        <f>SUMIFS(Adjustments!$G:$G,Adjustments!$H:$H,"2B",Adjustments!$I:$I,'Schedule 2B Adjustments'!$Y$12,Adjustments!$J:$J,'Schedule 2B Adjustments'!$A43)</f>
        <v>0</v>
      </c>
      <c r="AA43" s="326">
        <f t="shared" si="6"/>
        <v>0</v>
      </c>
    </row>
    <row r="44" spans="1:27" x14ac:dyDescent="0.35">
      <c r="A44" s="24">
        <v>30</v>
      </c>
      <c r="B44" s="507" t="str">
        <f>IF('As-Filed Schedule 2B'!B44:D44=0,"",'As-Filed Schedule 2B'!B44:D44)</f>
        <v/>
      </c>
      <c r="C44" s="507"/>
      <c r="D44" s="507"/>
      <c r="F44" s="117">
        <f>'As-Filed Schedule 2B'!F44</f>
        <v>0</v>
      </c>
      <c r="G44" s="313">
        <f>SUMIFS(Adjustments!$G:$G,Adjustments!$H:$H,"2B",Adjustments!$I:$I,'Schedule 2B Adjustments'!$F$12,Adjustments!$J:$J,'Schedule 2B Adjustments'!$A44)</f>
        <v>0</v>
      </c>
      <c r="H44" s="309">
        <f t="shared" si="0"/>
        <v>0</v>
      </c>
      <c r="I44" s="68">
        <f>IFERROR(F44*'As-Filed Schedule 1'!$E$103,0)</f>
        <v>0</v>
      </c>
      <c r="J44" s="310">
        <f>IFERROR(H44*'Adjusted Schedule 1'!$E$104,0)</f>
        <v>0</v>
      </c>
      <c r="K44" s="181">
        <f t="shared" si="1"/>
        <v>0</v>
      </c>
      <c r="L44" s="310">
        <f t="shared" si="7"/>
        <v>0</v>
      </c>
      <c r="N44" s="180">
        <f>'As-Filed Schedule 2B'!J44</f>
        <v>0</v>
      </c>
      <c r="O44" s="313">
        <f>SUMIFS(Adjustments!$G:$G,Adjustments!$H:$H,"2B",Adjustments!$I:$I,'Schedule 2B Adjustments'!$N$12,Adjustments!$J:$J,'Schedule 2B Adjustments'!$A44)</f>
        <v>0</v>
      </c>
      <c r="P44" s="309">
        <f t="shared" si="2"/>
        <v>0</v>
      </c>
      <c r="Q44" s="68">
        <f>IFERROR(N44*'As-Filed Schedule 1'!$E$103,0)</f>
        <v>0</v>
      </c>
      <c r="R44" s="310">
        <f>IFERROR(P44*'Adjusted Schedule 1'!$E$104,0)</f>
        <v>0</v>
      </c>
      <c r="S44" s="68">
        <f t="shared" si="3"/>
        <v>0</v>
      </c>
      <c r="T44" s="310">
        <f t="shared" si="4"/>
        <v>0</v>
      </c>
      <c r="V44" s="120">
        <f>'As-Filed Schedule 2B'!N44</f>
        <v>0</v>
      </c>
      <c r="W44" s="313">
        <f>SUMIFS(Adjustments!$G:$G,Adjustments!$H:$H,"2B",Adjustments!$I:$I,'Schedule 2B Adjustments'!$V$12,Adjustments!$J:$J,'Schedule 2B Adjustments'!$A44)</f>
        <v>0</v>
      </c>
      <c r="X44" s="326">
        <f t="shared" si="5"/>
        <v>0</v>
      </c>
      <c r="Y44" s="120">
        <f>'As-Filed Schedule 2B'!O44</f>
        <v>0</v>
      </c>
      <c r="Z44" s="313">
        <f>SUMIFS(Adjustments!$G:$G,Adjustments!$H:$H,"2B",Adjustments!$I:$I,'Schedule 2B Adjustments'!$Y$12,Adjustments!$J:$J,'Schedule 2B Adjustments'!$A44)</f>
        <v>0</v>
      </c>
      <c r="AA44" s="326">
        <f t="shared" si="6"/>
        <v>0</v>
      </c>
    </row>
    <row r="45" spans="1:27" x14ac:dyDescent="0.35">
      <c r="A45" s="24">
        <v>31</v>
      </c>
      <c r="B45" s="507" t="str">
        <f>IF('As-Filed Schedule 2B'!B45:D45=0,"",'As-Filed Schedule 2B'!B45:D45)</f>
        <v/>
      </c>
      <c r="C45" s="507"/>
      <c r="D45" s="507"/>
      <c r="F45" s="117">
        <f>'As-Filed Schedule 2B'!F45</f>
        <v>0</v>
      </c>
      <c r="G45" s="313">
        <f>SUMIFS(Adjustments!$G:$G,Adjustments!$H:$H,"2B",Adjustments!$I:$I,'Schedule 2B Adjustments'!$F$12,Adjustments!$J:$J,'Schedule 2B Adjustments'!$A45)</f>
        <v>0</v>
      </c>
      <c r="H45" s="309">
        <f t="shared" si="0"/>
        <v>0</v>
      </c>
      <c r="I45" s="68">
        <f>IFERROR(F45*'As-Filed Schedule 1'!$E$103,0)</f>
        <v>0</v>
      </c>
      <c r="J45" s="310">
        <f>IFERROR(H45*'Adjusted Schedule 1'!$E$104,0)</f>
        <v>0</v>
      </c>
      <c r="K45" s="181">
        <f t="shared" si="1"/>
        <v>0</v>
      </c>
      <c r="L45" s="310">
        <f t="shared" si="7"/>
        <v>0</v>
      </c>
      <c r="N45" s="180">
        <f>'As-Filed Schedule 2B'!J45</f>
        <v>0</v>
      </c>
      <c r="O45" s="313">
        <f>SUMIFS(Adjustments!$G:$G,Adjustments!$H:$H,"2B",Adjustments!$I:$I,'Schedule 2B Adjustments'!$N$12,Adjustments!$J:$J,'Schedule 2B Adjustments'!$A45)</f>
        <v>0</v>
      </c>
      <c r="P45" s="309">
        <f t="shared" si="2"/>
        <v>0</v>
      </c>
      <c r="Q45" s="68">
        <f>IFERROR(N45*'As-Filed Schedule 1'!$E$103,0)</f>
        <v>0</v>
      </c>
      <c r="R45" s="310">
        <f>IFERROR(P45*'Adjusted Schedule 1'!$E$104,0)</f>
        <v>0</v>
      </c>
      <c r="S45" s="68">
        <f t="shared" si="3"/>
        <v>0</v>
      </c>
      <c r="T45" s="310">
        <f t="shared" si="4"/>
        <v>0</v>
      </c>
      <c r="V45" s="120">
        <f>'As-Filed Schedule 2B'!N45</f>
        <v>0</v>
      </c>
      <c r="W45" s="313">
        <f>SUMIFS(Adjustments!$G:$G,Adjustments!$H:$H,"2B",Adjustments!$I:$I,'Schedule 2B Adjustments'!$V$12,Adjustments!$J:$J,'Schedule 2B Adjustments'!$A45)</f>
        <v>0</v>
      </c>
      <c r="X45" s="326">
        <f t="shared" si="5"/>
        <v>0</v>
      </c>
      <c r="Y45" s="120">
        <f>'As-Filed Schedule 2B'!O45</f>
        <v>0</v>
      </c>
      <c r="Z45" s="313">
        <f>SUMIFS(Adjustments!$G:$G,Adjustments!$H:$H,"2B",Adjustments!$I:$I,'Schedule 2B Adjustments'!$Y$12,Adjustments!$J:$J,'Schedule 2B Adjustments'!$A45)</f>
        <v>0</v>
      </c>
      <c r="AA45" s="326">
        <f t="shared" si="6"/>
        <v>0</v>
      </c>
    </row>
    <row r="46" spans="1:27" x14ac:dyDescent="0.35">
      <c r="A46" s="24">
        <v>32</v>
      </c>
      <c r="B46" s="507" t="str">
        <f>IF('As-Filed Schedule 2B'!B46:D46=0,"",'As-Filed Schedule 2B'!B46:D46)</f>
        <v/>
      </c>
      <c r="C46" s="507"/>
      <c r="D46" s="507"/>
      <c r="F46" s="117">
        <f>'As-Filed Schedule 2B'!F46</f>
        <v>0</v>
      </c>
      <c r="G46" s="313">
        <f>SUMIFS(Adjustments!$G:$G,Adjustments!$H:$H,"2B",Adjustments!$I:$I,'Schedule 2B Adjustments'!$F$12,Adjustments!$J:$J,'Schedule 2B Adjustments'!$A46)</f>
        <v>0</v>
      </c>
      <c r="H46" s="309">
        <f t="shared" si="0"/>
        <v>0</v>
      </c>
      <c r="I46" s="68">
        <f>IFERROR(F46*'As-Filed Schedule 1'!$E$103,0)</f>
        <v>0</v>
      </c>
      <c r="J46" s="310">
        <f>IFERROR(H46*'Adjusted Schedule 1'!$E$104,0)</f>
        <v>0</v>
      </c>
      <c r="K46" s="181">
        <f t="shared" si="1"/>
        <v>0</v>
      </c>
      <c r="L46" s="310">
        <f t="shared" si="7"/>
        <v>0</v>
      </c>
      <c r="N46" s="180">
        <f>'As-Filed Schedule 2B'!J46</f>
        <v>0</v>
      </c>
      <c r="O46" s="313">
        <f>SUMIFS(Adjustments!$G:$G,Adjustments!$H:$H,"2B",Adjustments!$I:$I,'Schedule 2B Adjustments'!$N$12,Adjustments!$J:$J,'Schedule 2B Adjustments'!$A46)</f>
        <v>0</v>
      </c>
      <c r="P46" s="309">
        <f t="shared" si="2"/>
        <v>0</v>
      </c>
      <c r="Q46" s="68">
        <f>IFERROR(N46*'As-Filed Schedule 1'!$E$103,0)</f>
        <v>0</v>
      </c>
      <c r="R46" s="310">
        <f>IFERROR(P46*'Adjusted Schedule 1'!$E$104,0)</f>
        <v>0</v>
      </c>
      <c r="S46" s="68">
        <f t="shared" si="3"/>
        <v>0</v>
      </c>
      <c r="T46" s="310">
        <f t="shared" si="4"/>
        <v>0</v>
      </c>
      <c r="V46" s="120">
        <f>'As-Filed Schedule 2B'!N46</f>
        <v>0</v>
      </c>
      <c r="W46" s="313">
        <f>SUMIFS(Adjustments!$G:$G,Adjustments!$H:$H,"2B",Adjustments!$I:$I,'Schedule 2B Adjustments'!$V$12,Adjustments!$J:$J,'Schedule 2B Adjustments'!$A46)</f>
        <v>0</v>
      </c>
      <c r="X46" s="326">
        <f t="shared" si="5"/>
        <v>0</v>
      </c>
      <c r="Y46" s="120">
        <f>'As-Filed Schedule 2B'!O46</f>
        <v>0</v>
      </c>
      <c r="Z46" s="313">
        <f>SUMIFS(Adjustments!$G:$G,Adjustments!$H:$H,"2B",Adjustments!$I:$I,'Schedule 2B Adjustments'!$Y$12,Adjustments!$J:$J,'Schedule 2B Adjustments'!$A46)</f>
        <v>0</v>
      </c>
      <c r="AA46" s="326">
        <f t="shared" si="6"/>
        <v>0</v>
      </c>
    </row>
    <row r="47" spans="1:27" x14ac:dyDescent="0.35">
      <c r="A47" s="24">
        <v>33</v>
      </c>
      <c r="B47" s="507" t="str">
        <f>IF('As-Filed Schedule 2B'!B47:D47=0,"",'As-Filed Schedule 2B'!B47:D47)</f>
        <v/>
      </c>
      <c r="C47" s="507"/>
      <c r="D47" s="507"/>
      <c r="F47" s="117">
        <f>'As-Filed Schedule 2B'!F47</f>
        <v>0</v>
      </c>
      <c r="G47" s="313">
        <f>SUMIFS(Adjustments!$G:$G,Adjustments!$H:$H,"2B",Adjustments!$I:$I,'Schedule 2B Adjustments'!$F$12,Adjustments!$J:$J,'Schedule 2B Adjustments'!$A47)</f>
        <v>0</v>
      </c>
      <c r="H47" s="309">
        <f t="shared" si="0"/>
        <v>0</v>
      </c>
      <c r="I47" s="68">
        <f>IFERROR(F47*'As-Filed Schedule 1'!$E$103,0)</f>
        <v>0</v>
      </c>
      <c r="J47" s="310">
        <f>IFERROR(H47*'Adjusted Schedule 1'!$E$104,0)</f>
        <v>0</v>
      </c>
      <c r="K47" s="181">
        <f t="shared" si="1"/>
        <v>0</v>
      </c>
      <c r="L47" s="310">
        <f t="shared" si="7"/>
        <v>0</v>
      </c>
      <c r="N47" s="180">
        <f>'As-Filed Schedule 2B'!J47</f>
        <v>0</v>
      </c>
      <c r="O47" s="313">
        <f>SUMIFS(Adjustments!$G:$G,Adjustments!$H:$H,"2B",Adjustments!$I:$I,'Schedule 2B Adjustments'!$N$12,Adjustments!$J:$J,'Schedule 2B Adjustments'!$A47)</f>
        <v>0</v>
      </c>
      <c r="P47" s="309">
        <f t="shared" si="2"/>
        <v>0</v>
      </c>
      <c r="Q47" s="68">
        <f>IFERROR(N47*'As-Filed Schedule 1'!$E$103,0)</f>
        <v>0</v>
      </c>
      <c r="R47" s="310">
        <f>IFERROR(P47*'Adjusted Schedule 1'!$E$104,0)</f>
        <v>0</v>
      </c>
      <c r="S47" s="68">
        <f t="shared" si="3"/>
        <v>0</v>
      </c>
      <c r="T47" s="310">
        <f t="shared" si="4"/>
        <v>0</v>
      </c>
      <c r="V47" s="120">
        <f>'As-Filed Schedule 2B'!N47</f>
        <v>0</v>
      </c>
      <c r="W47" s="313">
        <f>SUMIFS(Adjustments!$G:$G,Adjustments!$H:$H,"2B",Adjustments!$I:$I,'Schedule 2B Adjustments'!$V$12,Adjustments!$J:$J,'Schedule 2B Adjustments'!$A47)</f>
        <v>0</v>
      </c>
      <c r="X47" s="326">
        <f t="shared" si="5"/>
        <v>0</v>
      </c>
      <c r="Y47" s="120">
        <f>'As-Filed Schedule 2B'!O47</f>
        <v>0</v>
      </c>
      <c r="Z47" s="313">
        <f>SUMIFS(Adjustments!$G:$G,Adjustments!$H:$H,"2B",Adjustments!$I:$I,'Schedule 2B Adjustments'!$Y$12,Adjustments!$J:$J,'Schedule 2B Adjustments'!$A47)</f>
        <v>0</v>
      </c>
      <c r="AA47" s="326">
        <f t="shared" si="6"/>
        <v>0</v>
      </c>
    </row>
    <row r="48" spans="1:27" x14ac:dyDescent="0.35">
      <c r="A48" s="24">
        <v>34</v>
      </c>
      <c r="B48" s="507" t="str">
        <f>IF('As-Filed Schedule 2B'!B48:D48=0,"",'As-Filed Schedule 2B'!B48:D48)</f>
        <v/>
      </c>
      <c r="C48" s="507"/>
      <c r="D48" s="507"/>
      <c r="F48" s="117">
        <f>'As-Filed Schedule 2B'!F48</f>
        <v>0</v>
      </c>
      <c r="G48" s="313">
        <f>SUMIFS(Adjustments!$G:$G,Adjustments!$H:$H,"2B",Adjustments!$I:$I,'Schedule 2B Adjustments'!$F$12,Adjustments!$J:$J,'Schedule 2B Adjustments'!$A48)</f>
        <v>0</v>
      </c>
      <c r="H48" s="309">
        <f t="shared" si="0"/>
        <v>0</v>
      </c>
      <c r="I48" s="68">
        <f>IFERROR(F48*'As-Filed Schedule 1'!$E$103,0)</f>
        <v>0</v>
      </c>
      <c r="J48" s="310">
        <f>IFERROR(H48*'Adjusted Schedule 1'!$E$104,0)</f>
        <v>0</v>
      </c>
      <c r="K48" s="181">
        <f t="shared" si="1"/>
        <v>0</v>
      </c>
      <c r="L48" s="310">
        <f t="shared" si="7"/>
        <v>0</v>
      </c>
      <c r="N48" s="180">
        <f>'As-Filed Schedule 2B'!J48</f>
        <v>0</v>
      </c>
      <c r="O48" s="313">
        <f>SUMIFS(Adjustments!$G:$G,Adjustments!$H:$H,"2B",Adjustments!$I:$I,'Schedule 2B Adjustments'!$N$12,Adjustments!$J:$J,'Schedule 2B Adjustments'!$A48)</f>
        <v>0</v>
      </c>
      <c r="P48" s="309">
        <f t="shared" si="2"/>
        <v>0</v>
      </c>
      <c r="Q48" s="68">
        <f>IFERROR(N48*'As-Filed Schedule 1'!$E$103,0)</f>
        <v>0</v>
      </c>
      <c r="R48" s="310">
        <f>IFERROR(P48*'Adjusted Schedule 1'!$E$104,0)</f>
        <v>0</v>
      </c>
      <c r="S48" s="68">
        <f t="shared" si="3"/>
        <v>0</v>
      </c>
      <c r="T48" s="310">
        <f t="shared" si="4"/>
        <v>0</v>
      </c>
      <c r="V48" s="120">
        <f>'As-Filed Schedule 2B'!N48</f>
        <v>0</v>
      </c>
      <c r="W48" s="313">
        <f>SUMIFS(Adjustments!$G:$G,Adjustments!$H:$H,"2B",Adjustments!$I:$I,'Schedule 2B Adjustments'!$V$12,Adjustments!$J:$J,'Schedule 2B Adjustments'!$A48)</f>
        <v>0</v>
      </c>
      <c r="X48" s="326">
        <f t="shared" si="5"/>
        <v>0</v>
      </c>
      <c r="Y48" s="120">
        <f>'As-Filed Schedule 2B'!O48</f>
        <v>0</v>
      </c>
      <c r="Z48" s="313">
        <f>SUMIFS(Adjustments!$G:$G,Adjustments!$H:$H,"2B",Adjustments!$I:$I,'Schedule 2B Adjustments'!$Y$12,Adjustments!$J:$J,'Schedule 2B Adjustments'!$A48)</f>
        <v>0</v>
      </c>
      <c r="AA48" s="326">
        <f t="shared" si="6"/>
        <v>0</v>
      </c>
    </row>
    <row r="49" spans="1:27" x14ac:dyDescent="0.35">
      <c r="A49" s="24">
        <v>35</v>
      </c>
      <c r="B49" s="507" t="str">
        <f>IF('As-Filed Schedule 2B'!B49:D49=0,"",'As-Filed Schedule 2B'!B49:D49)</f>
        <v/>
      </c>
      <c r="C49" s="507"/>
      <c r="D49" s="507"/>
      <c r="F49" s="117">
        <f>'As-Filed Schedule 2B'!F49</f>
        <v>0</v>
      </c>
      <c r="G49" s="313">
        <f>SUMIFS(Adjustments!$G:$G,Adjustments!$H:$H,"2B",Adjustments!$I:$I,'Schedule 2B Adjustments'!$F$12,Adjustments!$J:$J,'Schedule 2B Adjustments'!$A49)</f>
        <v>0</v>
      </c>
      <c r="H49" s="309">
        <f t="shared" si="0"/>
        <v>0</v>
      </c>
      <c r="I49" s="68">
        <f>IFERROR(F49*'As-Filed Schedule 1'!$E$103,0)</f>
        <v>0</v>
      </c>
      <c r="J49" s="310">
        <f>IFERROR(H49*'Adjusted Schedule 1'!$E$104,0)</f>
        <v>0</v>
      </c>
      <c r="K49" s="181">
        <f t="shared" si="1"/>
        <v>0</v>
      </c>
      <c r="L49" s="310">
        <f t="shared" si="7"/>
        <v>0</v>
      </c>
      <c r="N49" s="180">
        <f>'As-Filed Schedule 2B'!J49</f>
        <v>0</v>
      </c>
      <c r="O49" s="313">
        <f>SUMIFS(Adjustments!$G:$G,Adjustments!$H:$H,"2B",Adjustments!$I:$I,'Schedule 2B Adjustments'!$N$12,Adjustments!$J:$J,'Schedule 2B Adjustments'!$A49)</f>
        <v>0</v>
      </c>
      <c r="P49" s="309">
        <f t="shared" si="2"/>
        <v>0</v>
      </c>
      <c r="Q49" s="68">
        <f>IFERROR(N49*'As-Filed Schedule 1'!$E$103,0)</f>
        <v>0</v>
      </c>
      <c r="R49" s="310">
        <f>IFERROR(P49*'Adjusted Schedule 1'!$E$104,0)</f>
        <v>0</v>
      </c>
      <c r="S49" s="68">
        <f t="shared" si="3"/>
        <v>0</v>
      </c>
      <c r="T49" s="310">
        <f t="shared" si="4"/>
        <v>0</v>
      </c>
      <c r="V49" s="120">
        <f>'As-Filed Schedule 2B'!N49</f>
        <v>0</v>
      </c>
      <c r="W49" s="313">
        <f>SUMIFS(Adjustments!$G:$G,Adjustments!$H:$H,"2B",Adjustments!$I:$I,'Schedule 2B Adjustments'!$V$12,Adjustments!$J:$J,'Schedule 2B Adjustments'!$A49)</f>
        <v>0</v>
      </c>
      <c r="X49" s="326">
        <f t="shared" si="5"/>
        <v>0</v>
      </c>
      <c r="Y49" s="120">
        <f>'As-Filed Schedule 2B'!O49</f>
        <v>0</v>
      </c>
      <c r="Z49" s="313">
        <f>SUMIFS(Adjustments!$G:$G,Adjustments!$H:$H,"2B",Adjustments!$I:$I,'Schedule 2B Adjustments'!$Y$12,Adjustments!$J:$J,'Schedule 2B Adjustments'!$A49)</f>
        <v>0</v>
      </c>
      <c r="AA49" s="326">
        <f t="shared" si="6"/>
        <v>0</v>
      </c>
    </row>
    <row r="50" spans="1:27" x14ac:dyDescent="0.35">
      <c r="A50" s="24">
        <v>36</v>
      </c>
      <c r="B50" s="507" t="str">
        <f>IF('As-Filed Schedule 2B'!B50:D50=0,"",'As-Filed Schedule 2B'!B50:D50)</f>
        <v/>
      </c>
      <c r="C50" s="507"/>
      <c r="D50" s="507"/>
      <c r="F50" s="117">
        <f>'As-Filed Schedule 2B'!F50</f>
        <v>0</v>
      </c>
      <c r="G50" s="313">
        <f>SUMIFS(Adjustments!$G:$G,Adjustments!$H:$H,"2B",Adjustments!$I:$I,'Schedule 2B Adjustments'!$F$12,Adjustments!$J:$J,'Schedule 2B Adjustments'!$A50)</f>
        <v>0</v>
      </c>
      <c r="H50" s="309">
        <f t="shared" si="0"/>
        <v>0</v>
      </c>
      <c r="I50" s="68">
        <f>IFERROR(F50*'As-Filed Schedule 1'!$E$103,0)</f>
        <v>0</v>
      </c>
      <c r="J50" s="310">
        <f>IFERROR(H50*'Adjusted Schedule 1'!$E$104,0)</f>
        <v>0</v>
      </c>
      <c r="K50" s="181">
        <f t="shared" si="1"/>
        <v>0</v>
      </c>
      <c r="L50" s="310">
        <f t="shared" si="7"/>
        <v>0</v>
      </c>
      <c r="N50" s="180">
        <f>'As-Filed Schedule 2B'!J50</f>
        <v>0</v>
      </c>
      <c r="O50" s="313">
        <f>SUMIFS(Adjustments!$G:$G,Adjustments!$H:$H,"2B",Adjustments!$I:$I,'Schedule 2B Adjustments'!$N$12,Adjustments!$J:$J,'Schedule 2B Adjustments'!$A50)</f>
        <v>0</v>
      </c>
      <c r="P50" s="309">
        <f t="shared" si="2"/>
        <v>0</v>
      </c>
      <c r="Q50" s="68">
        <f>IFERROR(N50*'As-Filed Schedule 1'!$E$103,0)</f>
        <v>0</v>
      </c>
      <c r="R50" s="310">
        <f>IFERROR(P50*'Adjusted Schedule 1'!$E$104,0)</f>
        <v>0</v>
      </c>
      <c r="S50" s="68">
        <f t="shared" si="3"/>
        <v>0</v>
      </c>
      <c r="T50" s="310">
        <f t="shared" si="4"/>
        <v>0</v>
      </c>
      <c r="V50" s="120">
        <f>'As-Filed Schedule 2B'!N50</f>
        <v>0</v>
      </c>
      <c r="W50" s="313">
        <f>SUMIFS(Adjustments!$G:$G,Adjustments!$H:$H,"2B",Adjustments!$I:$I,'Schedule 2B Adjustments'!$V$12,Adjustments!$J:$J,'Schedule 2B Adjustments'!$A50)</f>
        <v>0</v>
      </c>
      <c r="X50" s="326">
        <f t="shared" si="5"/>
        <v>0</v>
      </c>
      <c r="Y50" s="120">
        <f>'As-Filed Schedule 2B'!O50</f>
        <v>0</v>
      </c>
      <c r="Z50" s="313">
        <f>SUMIFS(Adjustments!$G:$G,Adjustments!$H:$H,"2B",Adjustments!$I:$I,'Schedule 2B Adjustments'!$Y$12,Adjustments!$J:$J,'Schedule 2B Adjustments'!$A50)</f>
        <v>0</v>
      </c>
      <c r="AA50" s="326">
        <f t="shared" si="6"/>
        <v>0</v>
      </c>
    </row>
    <row r="51" spans="1:27" x14ac:dyDescent="0.35">
      <c r="A51" s="24">
        <v>37</v>
      </c>
      <c r="B51" s="507" t="str">
        <f>IF('As-Filed Schedule 2B'!B51:D51=0,"",'As-Filed Schedule 2B'!B51:D51)</f>
        <v/>
      </c>
      <c r="C51" s="507"/>
      <c r="D51" s="507"/>
      <c r="F51" s="117">
        <f>'As-Filed Schedule 2B'!F51</f>
        <v>0</v>
      </c>
      <c r="G51" s="313">
        <f>SUMIFS(Adjustments!$G:$G,Adjustments!$H:$H,"2B",Adjustments!$I:$I,'Schedule 2B Adjustments'!$F$12,Adjustments!$J:$J,'Schedule 2B Adjustments'!$A51)</f>
        <v>0</v>
      </c>
      <c r="H51" s="309">
        <f t="shared" si="0"/>
        <v>0</v>
      </c>
      <c r="I51" s="68">
        <f>IFERROR(F51*'As-Filed Schedule 1'!$E$103,0)</f>
        <v>0</v>
      </c>
      <c r="J51" s="310">
        <f>IFERROR(H51*'Adjusted Schedule 1'!$E$104,0)</f>
        <v>0</v>
      </c>
      <c r="K51" s="181">
        <f t="shared" si="1"/>
        <v>0</v>
      </c>
      <c r="L51" s="310">
        <f t="shared" si="7"/>
        <v>0</v>
      </c>
      <c r="N51" s="180">
        <f>'As-Filed Schedule 2B'!J51</f>
        <v>0</v>
      </c>
      <c r="O51" s="313">
        <f>SUMIFS(Adjustments!$G:$G,Adjustments!$H:$H,"2B",Adjustments!$I:$I,'Schedule 2B Adjustments'!$N$12,Adjustments!$J:$J,'Schedule 2B Adjustments'!$A51)</f>
        <v>0</v>
      </c>
      <c r="P51" s="309">
        <f t="shared" si="2"/>
        <v>0</v>
      </c>
      <c r="Q51" s="68">
        <f>IFERROR(N51*'As-Filed Schedule 1'!$E$103,0)</f>
        <v>0</v>
      </c>
      <c r="R51" s="310">
        <f>IFERROR(P51*'Adjusted Schedule 1'!$E$104,0)</f>
        <v>0</v>
      </c>
      <c r="S51" s="68">
        <f t="shared" si="3"/>
        <v>0</v>
      </c>
      <c r="T51" s="310">
        <f t="shared" si="4"/>
        <v>0</v>
      </c>
      <c r="V51" s="120">
        <f>'As-Filed Schedule 2B'!N51</f>
        <v>0</v>
      </c>
      <c r="W51" s="313">
        <f>SUMIFS(Adjustments!$G:$G,Adjustments!$H:$H,"2B",Adjustments!$I:$I,'Schedule 2B Adjustments'!$V$12,Adjustments!$J:$J,'Schedule 2B Adjustments'!$A51)</f>
        <v>0</v>
      </c>
      <c r="X51" s="326">
        <f t="shared" si="5"/>
        <v>0</v>
      </c>
      <c r="Y51" s="120">
        <f>'As-Filed Schedule 2B'!O51</f>
        <v>0</v>
      </c>
      <c r="Z51" s="313">
        <f>SUMIFS(Adjustments!$G:$G,Adjustments!$H:$H,"2B",Adjustments!$I:$I,'Schedule 2B Adjustments'!$Y$12,Adjustments!$J:$J,'Schedule 2B Adjustments'!$A51)</f>
        <v>0</v>
      </c>
      <c r="AA51" s="326">
        <f t="shared" si="6"/>
        <v>0</v>
      </c>
    </row>
    <row r="52" spans="1:27" x14ac:dyDescent="0.35">
      <c r="A52" s="24">
        <v>38</v>
      </c>
      <c r="B52" s="507" t="str">
        <f>IF('As-Filed Schedule 2B'!B52:D52=0,"",'As-Filed Schedule 2B'!B52:D52)</f>
        <v/>
      </c>
      <c r="C52" s="507"/>
      <c r="D52" s="507"/>
      <c r="F52" s="117">
        <f>'As-Filed Schedule 2B'!F52</f>
        <v>0</v>
      </c>
      <c r="G52" s="313">
        <f>SUMIFS(Adjustments!$G:$G,Adjustments!$H:$H,"2B",Adjustments!$I:$I,'Schedule 2B Adjustments'!$F$12,Adjustments!$J:$J,'Schedule 2B Adjustments'!$A52)</f>
        <v>0</v>
      </c>
      <c r="H52" s="309">
        <f t="shared" si="0"/>
        <v>0</v>
      </c>
      <c r="I52" s="68">
        <f>IFERROR(F52*'As-Filed Schedule 1'!$E$103,0)</f>
        <v>0</v>
      </c>
      <c r="J52" s="310">
        <f>IFERROR(H52*'Adjusted Schedule 1'!$E$104,0)</f>
        <v>0</v>
      </c>
      <c r="K52" s="181">
        <f t="shared" si="1"/>
        <v>0</v>
      </c>
      <c r="L52" s="310">
        <f t="shared" si="7"/>
        <v>0</v>
      </c>
      <c r="N52" s="180">
        <f>'As-Filed Schedule 2B'!J52</f>
        <v>0</v>
      </c>
      <c r="O52" s="313">
        <f>SUMIFS(Adjustments!$G:$G,Adjustments!$H:$H,"2B",Adjustments!$I:$I,'Schedule 2B Adjustments'!$N$12,Adjustments!$J:$J,'Schedule 2B Adjustments'!$A52)</f>
        <v>0</v>
      </c>
      <c r="P52" s="309">
        <f t="shared" si="2"/>
        <v>0</v>
      </c>
      <c r="Q52" s="68">
        <f>IFERROR(N52*'As-Filed Schedule 1'!$E$103,0)</f>
        <v>0</v>
      </c>
      <c r="R52" s="310">
        <f>IFERROR(P52*'Adjusted Schedule 1'!$E$104,0)</f>
        <v>0</v>
      </c>
      <c r="S52" s="68">
        <f t="shared" si="3"/>
        <v>0</v>
      </c>
      <c r="T52" s="310">
        <f t="shared" si="4"/>
        <v>0</v>
      </c>
      <c r="V52" s="120">
        <f>'As-Filed Schedule 2B'!N52</f>
        <v>0</v>
      </c>
      <c r="W52" s="313">
        <f>SUMIFS(Adjustments!$G:$G,Adjustments!$H:$H,"2B",Adjustments!$I:$I,'Schedule 2B Adjustments'!$V$12,Adjustments!$J:$J,'Schedule 2B Adjustments'!$A52)</f>
        <v>0</v>
      </c>
      <c r="X52" s="326">
        <f t="shared" si="5"/>
        <v>0</v>
      </c>
      <c r="Y52" s="120">
        <f>'As-Filed Schedule 2B'!O52</f>
        <v>0</v>
      </c>
      <c r="Z52" s="313">
        <f>SUMIFS(Adjustments!$G:$G,Adjustments!$H:$H,"2B",Adjustments!$I:$I,'Schedule 2B Adjustments'!$Y$12,Adjustments!$J:$J,'Schedule 2B Adjustments'!$A52)</f>
        <v>0</v>
      </c>
      <c r="AA52" s="326">
        <f t="shared" si="6"/>
        <v>0</v>
      </c>
    </row>
    <row r="53" spans="1:27" x14ac:dyDescent="0.35">
      <c r="A53" s="24">
        <v>39</v>
      </c>
      <c r="B53" s="507" t="str">
        <f>IF('As-Filed Schedule 2B'!B53:D53=0,"",'As-Filed Schedule 2B'!B53:D53)</f>
        <v/>
      </c>
      <c r="C53" s="507"/>
      <c r="D53" s="507"/>
      <c r="F53" s="117">
        <f>'As-Filed Schedule 2B'!F53</f>
        <v>0</v>
      </c>
      <c r="G53" s="313">
        <f>SUMIFS(Adjustments!$G:$G,Adjustments!$H:$H,"2B",Adjustments!$I:$I,'Schedule 2B Adjustments'!$F$12,Adjustments!$J:$J,'Schedule 2B Adjustments'!$A53)</f>
        <v>0</v>
      </c>
      <c r="H53" s="309">
        <f t="shared" si="0"/>
        <v>0</v>
      </c>
      <c r="I53" s="68">
        <f>IFERROR(F53*'As-Filed Schedule 1'!$E$103,0)</f>
        <v>0</v>
      </c>
      <c r="J53" s="310">
        <f>IFERROR(H53*'Adjusted Schedule 1'!$E$104,0)</f>
        <v>0</v>
      </c>
      <c r="K53" s="181">
        <f t="shared" si="1"/>
        <v>0</v>
      </c>
      <c r="L53" s="310">
        <f t="shared" si="7"/>
        <v>0</v>
      </c>
      <c r="N53" s="180">
        <f>'As-Filed Schedule 2B'!J53</f>
        <v>0</v>
      </c>
      <c r="O53" s="313">
        <f>SUMIFS(Adjustments!$G:$G,Adjustments!$H:$H,"2B",Adjustments!$I:$I,'Schedule 2B Adjustments'!$N$12,Adjustments!$J:$J,'Schedule 2B Adjustments'!$A53)</f>
        <v>0</v>
      </c>
      <c r="P53" s="309">
        <f t="shared" si="2"/>
        <v>0</v>
      </c>
      <c r="Q53" s="68">
        <f>IFERROR(N53*'As-Filed Schedule 1'!$E$103,0)</f>
        <v>0</v>
      </c>
      <c r="R53" s="310">
        <f>IFERROR(P53*'Adjusted Schedule 1'!$E$104,0)</f>
        <v>0</v>
      </c>
      <c r="S53" s="68">
        <f t="shared" si="3"/>
        <v>0</v>
      </c>
      <c r="T53" s="310">
        <f t="shared" si="4"/>
        <v>0</v>
      </c>
      <c r="V53" s="120">
        <f>'As-Filed Schedule 2B'!N53</f>
        <v>0</v>
      </c>
      <c r="W53" s="313">
        <f>SUMIFS(Adjustments!$G:$G,Adjustments!$H:$H,"2B",Adjustments!$I:$I,'Schedule 2B Adjustments'!$V$12,Adjustments!$J:$J,'Schedule 2B Adjustments'!$A53)</f>
        <v>0</v>
      </c>
      <c r="X53" s="326">
        <f t="shared" si="5"/>
        <v>0</v>
      </c>
      <c r="Y53" s="120">
        <f>'As-Filed Schedule 2B'!O53</f>
        <v>0</v>
      </c>
      <c r="Z53" s="313">
        <f>SUMIFS(Adjustments!$G:$G,Adjustments!$H:$H,"2B",Adjustments!$I:$I,'Schedule 2B Adjustments'!$Y$12,Adjustments!$J:$J,'Schedule 2B Adjustments'!$A53)</f>
        <v>0</v>
      </c>
      <c r="AA53" s="326">
        <f t="shared" si="6"/>
        <v>0</v>
      </c>
    </row>
    <row r="54" spans="1:27" x14ac:dyDescent="0.35">
      <c r="A54" s="24">
        <v>40</v>
      </c>
      <c r="B54" s="507" t="str">
        <f>IF('As-Filed Schedule 2B'!B54:D54=0,"",'As-Filed Schedule 2B'!B54:D54)</f>
        <v/>
      </c>
      <c r="C54" s="507"/>
      <c r="D54" s="507"/>
      <c r="F54" s="117">
        <f>'As-Filed Schedule 2B'!F54</f>
        <v>0</v>
      </c>
      <c r="G54" s="313">
        <f>SUMIFS(Adjustments!$G:$G,Adjustments!$H:$H,"2B",Adjustments!$I:$I,'Schedule 2B Adjustments'!$F$12,Adjustments!$J:$J,'Schedule 2B Adjustments'!$A54)</f>
        <v>0</v>
      </c>
      <c r="H54" s="309">
        <f t="shared" si="0"/>
        <v>0</v>
      </c>
      <c r="I54" s="68">
        <f>IFERROR(F54*'As-Filed Schedule 1'!$E$103,0)</f>
        <v>0</v>
      </c>
      <c r="J54" s="310">
        <f>IFERROR(H54*'Adjusted Schedule 1'!$E$104,0)</f>
        <v>0</v>
      </c>
      <c r="K54" s="181">
        <f t="shared" si="1"/>
        <v>0</v>
      </c>
      <c r="L54" s="310">
        <f t="shared" si="7"/>
        <v>0</v>
      </c>
      <c r="N54" s="180">
        <f>'As-Filed Schedule 2B'!J54</f>
        <v>0</v>
      </c>
      <c r="O54" s="313">
        <f>SUMIFS(Adjustments!$G:$G,Adjustments!$H:$H,"2B",Adjustments!$I:$I,'Schedule 2B Adjustments'!$N$12,Adjustments!$J:$J,'Schedule 2B Adjustments'!$A54)</f>
        <v>0</v>
      </c>
      <c r="P54" s="309">
        <f t="shared" si="2"/>
        <v>0</v>
      </c>
      <c r="Q54" s="68">
        <f>IFERROR(N54*'As-Filed Schedule 1'!$E$103,0)</f>
        <v>0</v>
      </c>
      <c r="R54" s="310">
        <f>IFERROR(P54*'Adjusted Schedule 1'!$E$104,0)</f>
        <v>0</v>
      </c>
      <c r="S54" s="68">
        <f t="shared" si="3"/>
        <v>0</v>
      </c>
      <c r="T54" s="310">
        <f t="shared" si="4"/>
        <v>0</v>
      </c>
      <c r="V54" s="120">
        <f>'As-Filed Schedule 2B'!N54</f>
        <v>0</v>
      </c>
      <c r="W54" s="313">
        <f>SUMIFS(Adjustments!$G:$G,Adjustments!$H:$H,"2B",Adjustments!$I:$I,'Schedule 2B Adjustments'!$V$12,Adjustments!$J:$J,'Schedule 2B Adjustments'!$A54)</f>
        <v>0</v>
      </c>
      <c r="X54" s="326">
        <f t="shared" si="5"/>
        <v>0</v>
      </c>
      <c r="Y54" s="120">
        <f>'As-Filed Schedule 2B'!O54</f>
        <v>0</v>
      </c>
      <c r="Z54" s="313">
        <f>SUMIFS(Adjustments!$G:$G,Adjustments!$H:$H,"2B",Adjustments!$I:$I,'Schedule 2B Adjustments'!$Y$12,Adjustments!$J:$J,'Schedule 2B Adjustments'!$A54)</f>
        <v>0</v>
      </c>
      <c r="AA54" s="326">
        <f t="shared" si="6"/>
        <v>0</v>
      </c>
    </row>
    <row r="55" spans="1:27" x14ac:dyDescent="0.35">
      <c r="A55" s="24">
        <v>41</v>
      </c>
      <c r="B55" s="507" t="str">
        <f>IF('As-Filed Schedule 2B'!B55:D55=0,"",'As-Filed Schedule 2B'!B55:D55)</f>
        <v/>
      </c>
      <c r="C55" s="507"/>
      <c r="D55" s="507"/>
      <c r="F55" s="117">
        <f>'As-Filed Schedule 2B'!F55</f>
        <v>0</v>
      </c>
      <c r="G55" s="313">
        <f>SUMIFS(Adjustments!$G:$G,Adjustments!$H:$H,"2B",Adjustments!$I:$I,'Schedule 2B Adjustments'!$F$12,Adjustments!$J:$J,'Schedule 2B Adjustments'!$A55)</f>
        <v>0</v>
      </c>
      <c r="H55" s="309">
        <f t="shared" si="0"/>
        <v>0</v>
      </c>
      <c r="I55" s="68">
        <f>IFERROR(F55*'As-Filed Schedule 1'!$E$103,0)</f>
        <v>0</v>
      </c>
      <c r="J55" s="310">
        <f>IFERROR(H55*'Adjusted Schedule 1'!$E$104,0)</f>
        <v>0</v>
      </c>
      <c r="K55" s="181">
        <f t="shared" si="1"/>
        <v>0</v>
      </c>
      <c r="L55" s="310">
        <f t="shared" si="7"/>
        <v>0</v>
      </c>
      <c r="N55" s="180">
        <f>'As-Filed Schedule 2B'!J55</f>
        <v>0</v>
      </c>
      <c r="O55" s="313">
        <f>SUMIFS(Adjustments!$G:$G,Adjustments!$H:$H,"2B",Adjustments!$I:$I,'Schedule 2B Adjustments'!$N$12,Adjustments!$J:$J,'Schedule 2B Adjustments'!$A55)</f>
        <v>0</v>
      </c>
      <c r="P55" s="309">
        <f t="shared" si="2"/>
        <v>0</v>
      </c>
      <c r="Q55" s="68">
        <f>IFERROR(N55*'As-Filed Schedule 1'!$E$103,0)</f>
        <v>0</v>
      </c>
      <c r="R55" s="310">
        <f>IFERROR(P55*'Adjusted Schedule 1'!$E$104,0)</f>
        <v>0</v>
      </c>
      <c r="S55" s="68">
        <f t="shared" si="3"/>
        <v>0</v>
      </c>
      <c r="T55" s="310">
        <f t="shared" si="4"/>
        <v>0</v>
      </c>
      <c r="V55" s="120">
        <f>'As-Filed Schedule 2B'!N55</f>
        <v>0</v>
      </c>
      <c r="W55" s="313">
        <f>SUMIFS(Adjustments!$G:$G,Adjustments!$H:$H,"2B",Adjustments!$I:$I,'Schedule 2B Adjustments'!$V$12,Adjustments!$J:$J,'Schedule 2B Adjustments'!$A55)</f>
        <v>0</v>
      </c>
      <c r="X55" s="326">
        <f t="shared" si="5"/>
        <v>0</v>
      </c>
      <c r="Y55" s="120">
        <f>'As-Filed Schedule 2B'!O55</f>
        <v>0</v>
      </c>
      <c r="Z55" s="313">
        <f>SUMIFS(Adjustments!$G:$G,Adjustments!$H:$H,"2B",Adjustments!$I:$I,'Schedule 2B Adjustments'!$Y$12,Adjustments!$J:$J,'Schedule 2B Adjustments'!$A55)</f>
        <v>0</v>
      </c>
      <c r="AA55" s="326">
        <f t="shared" si="6"/>
        <v>0</v>
      </c>
    </row>
    <row r="56" spans="1:27" x14ac:dyDescent="0.35">
      <c r="A56" s="24">
        <v>42</v>
      </c>
      <c r="B56" s="507" t="str">
        <f>IF('As-Filed Schedule 2B'!B56:D56=0,"",'As-Filed Schedule 2B'!B56:D56)</f>
        <v/>
      </c>
      <c r="C56" s="507"/>
      <c r="D56" s="507"/>
      <c r="F56" s="117">
        <f>'As-Filed Schedule 2B'!F56</f>
        <v>0</v>
      </c>
      <c r="G56" s="313">
        <f>SUMIFS(Adjustments!$G:$G,Adjustments!$H:$H,"2B",Adjustments!$I:$I,'Schedule 2B Adjustments'!$F$12,Adjustments!$J:$J,'Schedule 2B Adjustments'!$A56)</f>
        <v>0</v>
      </c>
      <c r="H56" s="309">
        <f t="shared" si="0"/>
        <v>0</v>
      </c>
      <c r="I56" s="68">
        <f>IFERROR(F56*'As-Filed Schedule 1'!$E$103,0)</f>
        <v>0</v>
      </c>
      <c r="J56" s="310">
        <f>IFERROR(H56*'Adjusted Schedule 1'!$E$104,0)</f>
        <v>0</v>
      </c>
      <c r="K56" s="181">
        <f t="shared" si="1"/>
        <v>0</v>
      </c>
      <c r="L56" s="310">
        <f t="shared" si="7"/>
        <v>0</v>
      </c>
      <c r="N56" s="180">
        <f>'As-Filed Schedule 2B'!J56</f>
        <v>0</v>
      </c>
      <c r="O56" s="313">
        <f>SUMIFS(Adjustments!$G:$G,Adjustments!$H:$H,"2B",Adjustments!$I:$I,'Schedule 2B Adjustments'!$N$12,Adjustments!$J:$J,'Schedule 2B Adjustments'!$A56)</f>
        <v>0</v>
      </c>
      <c r="P56" s="309">
        <f t="shared" si="2"/>
        <v>0</v>
      </c>
      <c r="Q56" s="68">
        <f>IFERROR(N56*'As-Filed Schedule 1'!$E$103,0)</f>
        <v>0</v>
      </c>
      <c r="R56" s="310">
        <f>IFERROR(P56*'Adjusted Schedule 1'!$E$104,0)</f>
        <v>0</v>
      </c>
      <c r="S56" s="68">
        <f t="shared" si="3"/>
        <v>0</v>
      </c>
      <c r="T56" s="310">
        <f t="shared" si="4"/>
        <v>0</v>
      </c>
      <c r="V56" s="120">
        <f>'As-Filed Schedule 2B'!N56</f>
        <v>0</v>
      </c>
      <c r="W56" s="313">
        <f>SUMIFS(Adjustments!$G:$G,Adjustments!$H:$H,"2B",Adjustments!$I:$I,'Schedule 2B Adjustments'!$V$12,Adjustments!$J:$J,'Schedule 2B Adjustments'!$A56)</f>
        <v>0</v>
      </c>
      <c r="X56" s="326">
        <f t="shared" si="5"/>
        <v>0</v>
      </c>
      <c r="Y56" s="120">
        <f>'As-Filed Schedule 2B'!O56</f>
        <v>0</v>
      </c>
      <c r="Z56" s="313">
        <f>SUMIFS(Adjustments!$G:$G,Adjustments!$H:$H,"2B",Adjustments!$I:$I,'Schedule 2B Adjustments'!$Y$12,Adjustments!$J:$J,'Schedule 2B Adjustments'!$A56)</f>
        <v>0</v>
      </c>
      <c r="AA56" s="326">
        <f t="shared" si="6"/>
        <v>0</v>
      </c>
    </row>
    <row r="57" spans="1:27" x14ac:dyDescent="0.35">
      <c r="A57" s="24">
        <v>43</v>
      </c>
      <c r="B57" s="507" t="str">
        <f>IF('As-Filed Schedule 2B'!B57:D57=0,"",'As-Filed Schedule 2B'!B57:D57)</f>
        <v/>
      </c>
      <c r="C57" s="507"/>
      <c r="D57" s="507"/>
      <c r="F57" s="117">
        <f>'As-Filed Schedule 2B'!F57</f>
        <v>0</v>
      </c>
      <c r="G57" s="313">
        <f>SUMIFS(Adjustments!$G:$G,Adjustments!$H:$H,"2B",Adjustments!$I:$I,'Schedule 2B Adjustments'!$F$12,Adjustments!$J:$J,'Schedule 2B Adjustments'!$A57)</f>
        <v>0</v>
      </c>
      <c r="H57" s="309">
        <f t="shared" si="0"/>
        <v>0</v>
      </c>
      <c r="I57" s="68">
        <f>IFERROR(F57*'As-Filed Schedule 1'!$E$103,0)</f>
        <v>0</v>
      </c>
      <c r="J57" s="310">
        <f>IFERROR(H57*'Adjusted Schedule 1'!$E$104,0)</f>
        <v>0</v>
      </c>
      <c r="K57" s="181">
        <f t="shared" si="1"/>
        <v>0</v>
      </c>
      <c r="L57" s="310">
        <f t="shared" si="7"/>
        <v>0</v>
      </c>
      <c r="N57" s="180">
        <f>'As-Filed Schedule 2B'!J57</f>
        <v>0</v>
      </c>
      <c r="O57" s="313">
        <f>SUMIFS(Adjustments!$G:$G,Adjustments!$H:$H,"2B",Adjustments!$I:$I,'Schedule 2B Adjustments'!$N$12,Adjustments!$J:$J,'Schedule 2B Adjustments'!$A57)</f>
        <v>0</v>
      </c>
      <c r="P57" s="309">
        <f t="shared" si="2"/>
        <v>0</v>
      </c>
      <c r="Q57" s="68">
        <f>IFERROR(N57*'As-Filed Schedule 1'!$E$103,0)</f>
        <v>0</v>
      </c>
      <c r="R57" s="310">
        <f>IFERROR(P57*'Adjusted Schedule 1'!$E$104,0)</f>
        <v>0</v>
      </c>
      <c r="S57" s="68">
        <f t="shared" si="3"/>
        <v>0</v>
      </c>
      <c r="T57" s="310">
        <f t="shared" si="4"/>
        <v>0</v>
      </c>
      <c r="V57" s="120">
        <f>'As-Filed Schedule 2B'!N57</f>
        <v>0</v>
      </c>
      <c r="W57" s="313">
        <f>SUMIFS(Adjustments!$G:$G,Adjustments!$H:$H,"2B",Adjustments!$I:$I,'Schedule 2B Adjustments'!$V$12,Adjustments!$J:$J,'Schedule 2B Adjustments'!$A57)</f>
        <v>0</v>
      </c>
      <c r="X57" s="326">
        <f t="shared" si="5"/>
        <v>0</v>
      </c>
      <c r="Y57" s="120">
        <f>'As-Filed Schedule 2B'!O57</f>
        <v>0</v>
      </c>
      <c r="Z57" s="313">
        <f>SUMIFS(Adjustments!$G:$G,Adjustments!$H:$H,"2B",Adjustments!$I:$I,'Schedule 2B Adjustments'!$Y$12,Adjustments!$J:$J,'Schedule 2B Adjustments'!$A57)</f>
        <v>0</v>
      </c>
      <c r="AA57" s="326">
        <f t="shared" si="6"/>
        <v>0</v>
      </c>
    </row>
    <row r="58" spans="1:27" x14ac:dyDescent="0.35">
      <c r="A58" s="24">
        <v>44</v>
      </c>
      <c r="B58" s="507" t="str">
        <f>IF('As-Filed Schedule 2B'!B58:D58=0,"",'As-Filed Schedule 2B'!B58:D58)</f>
        <v/>
      </c>
      <c r="C58" s="507"/>
      <c r="D58" s="507"/>
      <c r="F58" s="117">
        <f>'As-Filed Schedule 2B'!F58</f>
        <v>0</v>
      </c>
      <c r="G58" s="313">
        <f>SUMIFS(Adjustments!$G:$G,Adjustments!$H:$H,"2B",Adjustments!$I:$I,'Schedule 2B Adjustments'!$F$12,Adjustments!$J:$J,'Schedule 2B Adjustments'!$A58)</f>
        <v>0</v>
      </c>
      <c r="H58" s="309">
        <f t="shared" si="0"/>
        <v>0</v>
      </c>
      <c r="I58" s="68">
        <f>IFERROR(F58*'As-Filed Schedule 1'!$E$103,0)</f>
        <v>0</v>
      </c>
      <c r="J58" s="310">
        <f>IFERROR(H58*'Adjusted Schedule 1'!$E$104,0)</f>
        <v>0</v>
      </c>
      <c r="K58" s="181">
        <f t="shared" si="1"/>
        <v>0</v>
      </c>
      <c r="L58" s="310">
        <f t="shared" si="7"/>
        <v>0</v>
      </c>
      <c r="N58" s="180">
        <f>'As-Filed Schedule 2B'!J58</f>
        <v>0</v>
      </c>
      <c r="O58" s="313">
        <f>SUMIFS(Adjustments!$G:$G,Adjustments!$H:$H,"2B",Adjustments!$I:$I,'Schedule 2B Adjustments'!$N$12,Adjustments!$J:$J,'Schedule 2B Adjustments'!$A58)</f>
        <v>0</v>
      </c>
      <c r="P58" s="309">
        <f t="shared" si="2"/>
        <v>0</v>
      </c>
      <c r="Q58" s="68">
        <f>IFERROR(N58*'As-Filed Schedule 1'!$E$103,0)</f>
        <v>0</v>
      </c>
      <c r="R58" s="310">
        <f>IFERROR(P58*'Adjusted Schedule 1'!$E$104,0)</f>
        <v>0</v>
      </c>
      <c r="S58" s="68">
        <f t="shared" si="3"/>
        <v>0</v>
      </c>
      <c r="T58" s="310">
        <f t="shared" si="4"/>
        <v>0</v>
      </c>
      <c r="V58" s="120">
        <f>'As-Filed Schedule 2B'!N58</f>
        <v>0</v>
      </c>
      <c r="W58" s="313">
        <f>SUMIFS(Adjustments!$G:$G,Adjustments!$H:$H,"2B",Adjustments!$I:$I,'Schedule 2B Adjustments'!$V$12,Adjustments!$J:$J,'Schedule 2B Adjustments'!$A58)</f>
        <v>0</v>
      </c>
      <c r="X58" s="326">
        <f t="shared" si="5"/>
        <v>0</v>
      </c>
      <c r="Y58" s="120">
        <f>'As-Filed Schedule 2B'!O58</f>
        <v>0</v>
      </c>
      <c r="Z58" s="313">
        <f>SUMIFS(Adjustments!$G:$G,Adjustments!$H:$H,"2B",Adjustments!$I:$I,'Schedule 2B Adjustments'!$Y$12,Adjustments!$J:$J,'Schedule 2B Adjustments'!$A58)</f>
        <v>0</v>
      </c>
      <c r="AA58" s="326">
        <f t="shared" si="6"/>
        <v>0</v>
      </c>
    </row>
    <row r="59" spans="1:27" x14ac:dyDescent="0.35">
      <c r="A59" s="24">
        <v>45</v>
      </c>
      <c r="B59" s="507" t="str">
        <f>IF('As-Filed Schedule 2B'!B59:D59=0,"",'As-Filed Schedule 2B'!B59:D59)</f>
        <v/>
      </c>
      <c r="C59" s="507"/>
      <c r="D59" s="507"/>
      <c r="F59" s="117">
        <f>'As-Filed Schedule 2B'!F59</f>
        <v>0</v>
      </c>
      <c r="G59" s="313">
        <f>SUMIFS(Adjustments!$G:$G,Adjustments!$H:$H,"2B",Adjustments!$I:$I,'Schedule 2B Adjustments'!$F$12,Adjustments!$J:$J,'Schedule 2B Adjustments'!$A59)</f>
        <v>0</v>
      </c>
      <c r="H59" s="309">
        <f t="shared" si="0"/>
        <v>0</v>
      </c>
      <c r="I59" s="68">
        <f>IFERROR(F59*'As-Filed Schedule 1'!$E$103,0)</f>
        <v>0</v>
      </c>
      <c r="J59" s="310">
        <f>IFERROR(H59*'Adjusted Schedule 1'!$E$104,0)</f>
        <v>0</v>
      </c>
      <c r="K59" s="181">
        <f t="shared" si="1"/>
        <v>0</v>
      </c>
      <c r="L59" s="310">
        <f t="shared" si="7"/>
        <v>0</v>
      </c>
      <c r="N59" s="180">
        <f>'As-Filed Schedule 2B'!J59</f>
        <v>0</v>
      </c>
      <c r="O59" s="313">
        <f>SUMIFS(Adjustments!$G:$G,Adjustments!$H:$H,"2B",Adjustments!$I:$I,'Schedule 2B Adjustments'!$N$12,Adjustments!$J:$J,'Schedule 2B Adjustments'!$A59)</f>
        <v>0</v>
      </c>
      <c r="P59" s="309">
        <f t="shared" si="2"/>
        <v>0</v>
      </c>
      <c r="Q59" s="68">
        <f>IFERROR(N59*'As-Filed Schedule 1'!$E$103,0)</f>
        <v>0</v>
      </c>
      <c r="R59" s="310">
        <f>IFERROR(P59*'Adjusted Schedule 1'!$E$104,0)</f>
        <v>0</v>
      </c>
      <c r="S59" s="68">
        <f t="shared" si="3"/>
        <v>0</v>
      </c>
      <c r="T59" s="310">
        <f t="shared" si="4"/>
        <v>0</v>
      </c>
      <c r="V59" s="120">
        <f>'As-Filed Schedule 2B'!N59</f>
        <v>0</v>
      </c>
      <c r="W59" s="313">
        <f>SUMIFS(Adjustments!$G:$G,Adjustments!$H:$H,"2B",Adjustments!$I:$I,'Schedule 2B Adjustments'!$V$12,Adjustments!$J:$J,'Schedule 2B Adjustments'!$A59)</f>
        <v>0</v>
      </c>
      <c r="X59" s="326">
        <f t="shared" si="5"/>
        <v>0</v>
      </c>
      <c r="Y59" s="120">
        <f>'As-Filed Schedule 2B'!O59</f>
        <v>0</v>
      </c>
      <c r="Z59" s="313">
        <f>SUMIFS(Adjustments!$G:$G,Adjustments!$H:$H,"2B",Adjustments!$I:$I,'Schedule 2B Adjustments'!$Y$12,Adjustments!$J:$J,'Schedule 2B Adjustments'!$A59)</f>
        <v>0</v>
      </c>
      <c r="AA59" s="326">
        <f t="shared" si="6"/>
        <v>0</v>
      </c>
    </row>
    <row r="60" spans="1:27" x14ac:dyDescent="0.35">
      <c r="A60" s="24">
        <v>46</v>
      </c>
      <c r="B60" s="507" t="str">
        <f>IF('As-Filed Schedule 2B'!B60:D60=0,"",'As-Filed Schedule 2B'!B60:D60)</f>
        <v/>
      </c>
      <c r="C60" s="507"/>
      <c r="D60" s="507"/>
      <c r="F60" s="117">
        <f>'As-Filed Schedule 2B'!F60</f>
        <v>0</v>
      </c>
      <c r="G60" s="313">
        <f>SUMIFS(Adjustments!$G:$G,Adjustments!$H:$H,"2B",Adjustments!$I:$I,'Schedule 2B Adjustments'!$F$12,Adjustments!$J:$J,'Schedule 2B Adjustments'!$A60)</f>
        <v>0</v>
      </c>
      <c r="H60" s="309">
        <f t="shared" si="0"/>
        <v>0</v>
      </c>
      <c r="I60" s="68">
        <f>IFERROR(F60*'As-Filed Schedule 1'!$E$103,0)</f>
        <v>0</v>
      </c>
      <c r="J60" s="310">
        <f>IFERROR(H60*'Adjusted Schedule 1'!$E$104,0)</f>
        <v>0</v>
      </c>
      <c r="K60" s="181">
        <f t="shared" si="1"/>
        <v>0</v>
      </c>
      <c r="L60" s="310">
        <f t="shared" si="7"/>
        <v>0</v>
      </c>
      <c r="N60" s="180">
        <f>'As-Filed Schedule 2B'!J60</f>
        <v>0</v>
      </c>
      <c r="O60" s="313">
        <f>SUMIFS(Adjustments!$G:$G,Adjustments!$H:$H,"2B",Adjustments!$I:$I,'Schedule 2B Adjustments'!$N$12,Adjustments!$J:$J,'Schedule 2B Adjustments'!$A60)</f>
        <v>0</v>
      </c>
      <c r="P60" s="309">
        <f t="shared" si="2"/>
        <v>0</v>
      </c>
      <c r="Q60" s="68">
        <f>IFERROR(N60*'As-Filed Schedule 1'!$E$103,0)</f>
        <v>0</v>
      </c>
      <c r="R60" s="310">
        <f>IFERROR(P60*'Adjusted Schedule 1'!$E$104,0)</f>
        <v>0</v>
      </c>
      <c r="S60" s="68">
        <f t="shared" si="3"/>
        <v>0</v>
      </c>
      <c r="T60" s="310">
        <f t="shared" si="4"/>
        <v>0</v>
      </c>
      <c r="V60" s="120">
        <f>'As-Filed Schedule 2B'!N60</f>
        <v>0</v>
      </c>
      <c r="W60" s="313">
        <f>SUMIFS(Adjustments!$G:$G,Adjustments!$H:$H,"2B",Adjustments!$I:$I,'Schedule 2B Adjustments'!$V$12,Adjustments!$J:$J,'Schedule 2B Adjustments'!$A60)</f>
        <v>0</v>
      </c>
      <c r="X60" s="326">
        <f t="shared" si="5"/>
        <v>0</v>
      </c>
      <c r="Y60" s="120">
        <f>'As-Filed Schedule 2B'!O60</f>
        <v>0</v>
      </c>
      <c r="Z60" s="313">
        <f>SUMIFS(Adjustments!$G:$G,Adjustments!$H:$H,"2B",Adjustments!$I:$I,'Schedule 2B Adjustments'!$Y$12,Adjustments!$J:$J,'Schedule 2B Adjustments'!$A60)</f>
        <v>0</v>
      </c>
      <c r="AA60" s="326">
        <f t="shared" si="6"/>
        <v>0</v>
      </c>
    </row>
    <row r="61" spans="1:27" x14ac:dyDescent="0.35">
      <c r="A61" s="24">
        <v>47</v>
      </c>
      <c r="B61" s="507" t="str">
        <f>IF('As-Filed Schedule 2B'!B61:D61=0,"",'As-Filed Schedule 2B'!B61:D61)</f>
        <v/>
      </c>
      <c r="C61" s="507"/>
      <c r="D61" s="507"/>
      <c r="F61" s="117">
        <f>'As-Filed Schedule 2B'!F61</f>
        <v>0</v>
      </c>
      <c r="G61" s="313">
        <f>SUMIFS(Adjustments!$G:$G,Adjustments!$H:$H,"2B",Adjustments!$I:$I,'Schedule 2B Adjustments'!$F$12,Adjustments!$J:$J,'Schedule 2B Adjustments'!$A61)</f>
        <v>0</v>
      </c>
      <c r="H61" s="309">
        <f t="shared" si="0"/>
        <v>0</v>
      </c>
      <c r="I61" s="68">
        <f>IFERROR(F61*'As-Filed Schedule 1'!$E$103,0)</f>
        <v>0</v>
      </c>
      <c r="J61" s="310">
        <f>IFERROR(H61*'Adjusted Schedule 1'!$E$104,0)</f>
        <v>0</v>
      </c>
      <c r="K61" s="181">
        <f t="shared" si="1"/>
        <v>0</v>
      </c>
      <c r="L61" s="310">
        <f t="shared" si="7"/>
        <v>0</v>
      </c>
      <c r="N61" s="180">
        <f>'As-Filed Schedule 2B'!J61</f>
        <v>0</v>
      </c>
      <c r="O61" s="313">
        <f>SUMIFS(Adjustments!$G:$G,Adjustments!$H:$H,"2B",Adjustments!$I:$I,'Schedule 2B Adjustments'!$N$12,Adjustments!$J:$J,'Schedule 2B Adjustments'!$A61)</f>
        <v>0</v>
      </c>
      <c r="P61" s="309">
        <f t="shared" si="2"/>
        <v>0</v>
      </c>
      <c r="Q61" s="68">
        <f>IFERROR(N61*'As-Filed Schedule 1'!$E$103,0)</f>
        <v>0</v>
      </c>
      <c r="R61" s="310">
        <f>IFERROR(P61*'Adjusted Schedule 1'!$E$104,0)</f>
        <v>0</v>
      </c>
      <c r="S61" s="68">
        <f t="shared" si="3"/>
        <v>0</v>
      </c>
      <c r="T61" s="310">
        <f t="shared" si="4"/>
        <v>0</v>
      </c>
      <c r="V61" s="120">
        <f>'As-Filed Schedule 2B'!N61</f>
        <v>0</v>
      </c>
      <c r="W61" s="313">
        <f>SUMIFS(Adjustments!$G:$G,Adjustments!$H:$H,"2B",Adjustments!$I:$I,'Schedule 2B Adjustments'!$V$12,Adjustments!$J:$J,'Schedule 2B Adjustments'!$A61)</f>
        <v>0</v>
      </c>
      <c r="X61" s="326">
        <f t="shared" si="5"/>
        <v>0</v>
      </c>
      <c r="Y61" s="120">
        <f>'As-Filed Schedule 2B'!O61</f>
        <v>0</v>
      </c>
      <c r="Z61" s="313">
        <f>SUMIFS(Adjustments!$G:$G,Adjustments!$H:$H,"2B",Adjustments!$I:$I,'Schedule 2B Adjustments'!$Y$12,Adjustments!$J:$J,'Schedule 2B Adjustments'!$A61)</f>
        <v>0</v>
      </c>
      <c r="AA61" s="326">
        <f t="shared" si="6"/>
        <v>0</v>
      </c>
    </row>
    <row r="62" spans="1:27" x14ac:dyDescent="0.35">
      <c r="A62" s="24">
        <v>48</v>
      </c>
      <c r="B62" s="507" t="str">
        <f>IF('As-Filed Schedule 2B'!B62:D62=0,"",'As-Filed Schedule 2B'!B62:D62)</f>
        <v/>
      </c>
      <c r="C62" s="507"/>
      <c r="D62" s="507"/>
      <c r="F62" s="117">
        <f>'As-Filed Schedule 2B'!F62</f>
        <v>0</v>
      </c>
      <c r="G62" s="313">
        <f>SUMIFS(Adjustments!$G:$G,Adjustments!$H:$H,"2B",Adjustments!$I:$I,'Schedule 2B Adjustments'!$F$12,Adjustments!$J:$J,'Schedule 2B Adjustments'!$A62)</f>
        <v>0</v>
      </c>
      <c r="H62" s="309">
        <f t="shared" si="0"/>
        <v>0</v>
      </c>
      <c r="I62" s="68">
        <f>IFERROR(F62*'As-Filed Schedule 1'!$E$103,0)</f>
        <v>0</v>
      </c>
      <c r="J62" s="310">
        <f>IFERROR(H62*'Adjusted Schedule 1'!$E$104,0)</f>
        <v>0</v>
      </c>
      <c r="K62" s="181">
        <f t="shared" si="1"/>
        <v>0</v>
      </c>
      <c r="L62" s="310">
        <f t="shared" si="7"/>
        <v>0</v>
      </c>
      <c r="N62" s="180">
        <f>'As-Filed Schedule 2B'!J62</f>
        <v>0</v>
      </c>
      <c r="O62" s="313">
        <f>SUMIFS(Adjustments!$G:$G,Adjustments!$H:$H,"2B",Adjustments!$I:$I,'Schedule 2B Adjustments'!$N$12,Adjustments!$J:$J,'Schedule 2B Adjustments'!$A62)</f>
        <v>0</v>
      </c>
      <c r="P62" s="309">
        <f t="shared" si="2"/>
        <v>0</v>
      </c>
      <c r="Q62" s="68">
        <f>IFERROR(N62*'As-Filed Schedule 1'!$E$103,0)</f>
        <v>0</v>
      </c>
      <c r="R62" s="310">
        <f>IFERROR(P62*'Adjusted Schedule 1'!$E$104,0)</f>
        <v>0</v>
      </c>
      <c r="S62" s="68">
        <f t="shared" si="3"/>
        <v>0</v>
      </c>
      <c r="T62" s="310">
        <f t="shared" si="4"/>
        <v>0</v>
      </c>
      <c r="V62" s="120">
        <f>'As-Filed Schedule 2B'!N62</f>
        <v>0</v>
      </c>
      <c r="W62" s="313">
        <f>SUMIFS(Adjustments!$G:$G,Adjustments!$H:$H,"2B",Adjustments!$I:$I,'Schedule 2B Adjustments'!$V$12,Adjustments!$J:$J,'Schedule 2B Adjustments'!$A62)</f>
        <v>0</v>
      </c>
      <c r="X62" s="326">
        <f t="shared" si="5"/>
        <v>0</v>
      </c>
      <c r="Y62" s="120">
        <f>'As-Filed Schedule 2B'!O62</f>
        <v>0</v>
      </c>
      <c r="Z62" s="313">
        <f>SUMIFS(Adjustments!$G:$G,Adjustments!$H:$H,"2B",Adjustments!$I:$I,'Schedule 2B Adjustments'!$Y$12,Adjustments!$J:$J,'Schedule 2B Adjustments'!$A62)</f>
        <v>0</v>
      </c>
      <c r="AA62" s="326">
        <f t="shared" si="6"/>
        <v>0</v>
      </c>
    </row>
    <row r="63" spans="1:27" x14ac:dyDescent="0.35">
      <c r="A63" s="24">
        <v>49</v>
      </c>
      <c r="B63" s="507" t="str">
        <f>IF('As-Filed Schedule 2B'!B63:D63=0,"",'As-Filed Schedule 2B'!B63:D63)</f>
        <v/>
      </c>
      <c r="C63" s="507"/>
      <c r="D63" s="507"/>
      <c r="F63" s="117">
        <f>'As-Filed Schedule 2B'!F63</f>
        <v>0</v>
      </c>
      <c r="G63" s="313">
        <f>SUMIFS(Adjustments!$G:$G,Adjustments!$H:$H,"2B",Adjustments!$I:$I,'Schedule 2B Adjustments'!$F$12,Adjustments!$J:$J,'Schedule 2B Adjustments'!$A63)</f>
        <v>0</v>
      </c>
      <c r="H63" s="309">
        <f t="shared" si="0"/>
        <v>0</v>
      </c>
      <c r="I63" s="68">
        <f>IFERROR(F63*'As-Filed Schedule 1'!$E$103,0)</f>
        <v>0</v>
      </c>
      <c r="J63" s="310">
        <f>IFERROR(H63*'Adjusted Schedule 1'!$E$104,0)</f>
        <v>0</v>
      </c>
      <c r="K63" s="181">
        <f t="shared" si="1"/>
        <v>0</v>
      </c>
      <c r="L63" s="310">
        <f t="shared" si="7"/>
        <v>0</v>
      </c>
      <c r="N63" s="180">
        <f>'As-Filed Schedule 2B'!J63</f>
        <v>0</v>
      </c>
      <c r="O63" s="313">
        <f>SUMIFS(Adjustments!$G:$G,Adjustments!$H:$H,"2B",Adjustments!$I:$I,'Schedule 2B Adjustments'!$N$12,Adjustments!$J:$J,'Schedule 2B Adjustments'!$A63)</f>
        <v>0</v>
      </c>
      <c r="P63" s="309">
        <f t="shared" si="2"/>
        <v>0</v>
      </c>
      <c r="Q63" s="68">
        <f>IFERROR(N63*'As-Filed Schedule 1'!$E$103,0)</f>
        <v>0</v>
      </c>
      <c r="R63" s="310">
        <f>IFERROR(P63*'Adjusted Schedule 1'!$E$104,0)</f>
        <v>0</v>
      </c>
      <c r="S63" s="68">
        <f t="shared" si="3"/>
        <v>0</v>
      </c>
      <c r="T63" s="310">
        <f t="shared" si="4"/>
        <v>0</v>
      </c>
      <c r="V63" s="120">
        <f>'As-Filed Schedule 2B'!N63</f>
        <v>0</v>
      </c>
      <c r="W63" s="313">
        <f>SUMIFS(Adjustments!$G:$G,Adjustments!$H:$H,"2B",Adjustments!$I:$I,'Schedule 2B Adjustments'!$V$12,Adjustments!$J:$J,'Schedule 2B Adjustments'!$A63)</f>
        <v>0</v>
      </c>
      <c r="X63" s="326">
        <f t="shared" si="5"/>
        <v>0</v>
      </c>
      <c r="Y63" s="120">
        <f>'As-Filed Schedule 2B'!O63</f>
        <v>0</v>
      </c>
      <c r="Z63" s="313">
        <f>SUMIFS(Adjustments!$G:$G,Adjustments!$H:$H,"2B",Adjustments!$I:$I,'Schedule 2B Adjustments'!$Y$12,Adjustments!$J:$J,'Schedule 2B Adjustments'!$A63)</f>
        <v>0</v>
      </c>
      <c r="AA63" s="326">
        <f t="shared" si="6"/>
        <v>0</v>
      </c>
    </row>
    <row r="64" spans="1:27" x14ac:dyDescent="0.35">
      <c r="A64" s="24">
        <v>50</v>
      </c>
      <c r="B64" s="507" t="str">
        <f>IF('As-Filed Schedule 2B'!B64:D64=0,"",'As-Filed Schedule 2B'!B64:D64)</f>
        <v/>
      </c>
      <c r="C64" s="507"/>
      <c r="D64" s="507"/>
      <c r="F64" s="117">
        <f>'As-Filed Schedule 2B'!F64</f>
        <v>0</v>
      </c>
      <c r="G64" s="313">
        <f>SUMIFS(Adjustments!$G:$G,Adjustments!$H:$H,"2B",Adjustments!$I:$I,'Schedule 2B Adjustments'!$F$12,Adjustments!$J:$J,'Schedule 2B Adjustments'!$A64)</f>
        <v>0</v>
      </c>
      <c r="H64" s="309">
        <f t="shared" si="0"/>
        <v>0</v>
      </c>
      <c r="I64" s="68">
        <f>IFERROR(F64*'As-Filed Schedule 1'!$E$103,0)</f>
        <v>0</v>
      </c>
      <c r="J64" s="310">
        <f>IFERROR(H64*'Adjusted Schedule 1'!$E$104,0)</f>
        <v>0</v>
      </c>
      <c r="K64" s="181">
        <f t="shared" si="1"/>
        <v>0</v>
      </c>
      <c r="L64" s="310">
        <f t="shared" si="7"/>
        <v>0</v>
      </c>
      <c r="N64" s="180">
        <f>'As-Filed Schedule 2B'!J64</f>
        <v>0</v>
      </c>
      <c r="O64" s="313">
        <f>SUMIFS(Adjustments!$G:$G,Adjustments!$H:$H,"2B",Adjustments!$I:$I,'Schedule 2B Adjustments'!$N$12,Adjustments!$J:$J,'Schedule 2B Adjustments'!$A64)</f>
        <v>0</v>
      </c>
      <c r="P64" s="309">
        <f t="shared" si="2"/>
        <v>0</v>
      </c>
      <c r="Q64" s="68">
        <f>IFERROR(N64*'As-Filed Schedule 1'!$E$103,0)</f>
        <v>0</v>
      </c>
      <c r="R64" s="310">
        <f>IFERROR(P64*'Adjusted Schedule 1'!$E$104,0)</f>
        <v>0</v>
      </c>
      <c r="S64" s="68">
        <f t="shared" si="3"/>
        <v>0</v>
      </c>
      <c r="T64" s="310">
        <f t="shared" si="4"/>
        <v>0</v>
      </c>
      <c r="V64" s="120">
        <f>'As-Filed Schedule 2B'!N64</f>
        <v>0</v>
      </c>
      <c r="W64" s="313">
        <f>SUMIFS(Adjustments!$G:$G,Adjustments!$H:$H,"2B",Adjustments!$I:$I,'Schedule 2B Adjustments'!$V$12,Adjustments!$J:$J,'Schedule 2B Adjustments'!$A64)</f>
        <v>0</v>
      </c>
      <c r="X64" s="326">
        <f t="shared" si="5"/>
        <v>0</v>
      </c>
      <c r="Y64" s="120">
        <f>'As-Filed Schedule 2B'!O64</f>
        <v>0</v>
      </c>
      <c r="Z64" s="313">
        <f>SUMIFS(Adjustments!$G:$G,Adjustments!$H:$H,"2B",Adjustments!$I:$I,'Schedule 2B Adjustments'!$Y$12,Adjustments!$J:$J,'Schedule 2B Adjustments'!$A64)</f>
        <v>0</v>
      </c>
      <c r="AA64" s="326">
        <f t="shared" si="6"/>
        <v>0</v>
      </c>
    </row>
    <row r="65" spans="1:27" x14ac:dyDescent="0.35">
      <c r="A65" s="24">
        <v>51</v>
      </c>
      <c r="B65" s="507" t="str">
        <f>IF('As-Filed Schedule 2B'!B65:D65=0,"",'As-Filed Schedule 2B'!B65:D65)</f>
        <v/>
      </c>
      <c r="C65" s="507"/>
      <c r="D65" s="507"/>
      <c r="F65" s="117">
        <f>'As-Filed Schedule 2B'!F65</f>
        <v>0</v>
      </c>
      <c r="G65" s="313">
        <f>SUMIFS(Adjustments!$G:$G,Adjustments!$H:$H,"2B",Adjustments!$I:$I,'Schedule 2B Adjustments'!$F$12,Adjustments!$J:$J,'Schedule 2B Adjustments'!$A65)</f>
        <v>0</v>
      </c>
      <c r="H65" s="309">
        <f t="shared" si="0"/>
        <v>0</v>
      </c>
      <c r="I65" s="68">
        <f>IFERROR(F65*'As-Filed Schedule 1'!$E$103,0)</f>
        <v>0</v>
      </c>
      <c r="J65" s="310">
        <f>IFERROR(H65*'Adjusted Schedule 1'!$E$104,0)</f>
        <v>0</v>
      </c>
      <c r="K65" s="181">
        <f t="shared" si="1"/>
        <v>0</v>
      </c>
      <c r="L65" s="310">
        <f t="shared" si="7"/>
        <v>0</v>
      </c>
      <c r="N65" s="180">
        <f>'As-Filed Schedule 2B'!J65</f>
        <v>0</v>
      </c>
      <c r="O65" s="313">
        <f>SUMIFS(Adjustments!$G:$G,Adjustments!$H:$H,"2B",Adjustments!$I:$I,'Schedule 2B Adjustments'!$N$12,Adjustments!$J:$J,'Schedule 2B Adjustments'!$A65)</f>
        <v>0</v>
      </c>
      <c r="P65" s="309">
        <f t="shared" si="2"/>
        <v>0</v>
      </c>
      <c r="Q65" s="68">
        <f>IFERROR(N65*'As-Filed Schedule 1'!$E$103,0)</f>
        <v>0</v>
      </c>
      <c r="R65" s="310">
        <f>IFERROR(P65*'Adjusted Schedule 1'!$E$104,0)</f>
        <v>0</v>
      </c>
      <c r="S65" s="68">
        <f t="shared" si="3"/>
        <v>0</v>
      </c>
      <c r="T65" s="310">
        <f t="shared" si="4"/>
        <v>0</v>
      </c>
      <c r="V65" s="120">
        <f>'As-Filed Schedule 2B'!N65</f>
        <v>0</v>
      </c>
      <c r="W65" s="313">
        <f>SUMIFS(Adjustments!$G:$G,Adjustments!$H:$H,"2B",Adjustments!$I:$I,'Schedule 2B Adjustments'!$V$12,Adjustments!$J:$J,'Schedule 2B Adjustments'!$A65)</f>
        <v>0</v>
      </c>
      <c r="X65" s="326">
        <f t="shared" si="5"/>
        <v>0</v>
      </c>
      <c r="Y65" s="120">
        <f>'As-Filed Schedule 2B'!O65</f>
        <v>0</v>
      </c>
      <c r="Z65" s="313">
        <f>SUMIFS(Adjustments!$G:$G,Adjustments!$H:$H,"2B",Adjustments!$I:$I,'Schedule 2B Adjustments'!$Y$12,Adjustments!$J:$J,'Schedule 2B Adjustments'!$A65)</f>
        <v>0</v>
      </c>
      <c r="AA65" s="326">
        <f t="shared" si="6"/>
        <v>0</v>
      </c>
    </row>
    <row r="66" spans="1:27" x14ac:dyDescent="0.35">
      <c r="A66" s="24">
        <v>52</v>
      </c>
      <c r="B66" s="507" t="str">
        <f>IF('As-Filed Schedule 2B'!B66:D66=0,"",'As-Filed Schedule 2B'!B66:D66)</f>
        <v/>
      </c>
      <c r="C66" s="507"/>
      <c r="D66" s="507"/>
      <c r="F66" s="117">
        <f>'As-Filed Schedule 2B'!F66</f>
        <v>0</v>
      </c>
      <c r="G66" s="313">
        <f>SUMIFS(Adjustments!$G:$G,Adjustments!$H:$H,"2B",Adjustments!$I:$I,'Schedule 2B Adjustments'!$F$12,Adjustments!$J:$J,'Schedule 2B Adjustments'!$A66)</f>
        <v>0</v>
      </c>
      <c r="H66" s="309">
        <f t="shared" si="0"/>
        <v>0</v>
      </c>
      <c r="I66" s="68">
        <f>IFERROR(F66*'As-Filed Schedule 1'!$E$103,0)</f>
        <v>0</v>
      </c>
      <c r="J66" s="310">
        <f>IFERROR(H66*'Adjusted Schedule 1'!$E$104,0)</f>
        <v>0</v>
      </c>
      <c r="K66" s="181">
        <f t="shared" si="1"/>
        <v>0</v>
      </c>
      <c r="L66" s="310">
        <f t="shared" si="7"/>
        <v>0</v>
      </c>
      <c r="N66" s="180">
        <f>'As-Filed Schedule 2B'!J66</f>
        <v>0</v>
      </c>
      <c r="O66" s="313">
        <f>SUMIFS(Adjustments!$G:$G,Adjustments!$H:$H,"2B",Adjustments!$I:$I,'Schedule 2B Adjustments'!$N$12,Adjustments!$J:$J,'Schedule 2B Adjustments'!$A66)</f>
        <v>0</v>
      </c>
      <c r="P66" s="309">
        <f t="shared" si="2"/>
        <v>0</v>
      </c>
      <c r="Q66" s="68">
        <f>IFERROR(N66*'As-Filed Schedule 1'!$E$103,0)</f>
        <v>0</v>
      </c>
      <c r="R66" s="310">
        <f>IFERROR(P66*'Adjusted Schedule 1'!$E$104,0)</f>
        <v>0</v>
      </c>
      <c r="S66" s="68">
        <f t="shared" si="3"/>
        <v>0</v>
      </c>
      <c r="T66" s="310">
        <f t="shared" si="4"/>
        <v>0</v>
      </c>
      <c r="V66" s="120">
        <f>'As-Filed Schedule 2B'!N66</f>
        <v>0</v>
      </c>
      <c r="W66" s="313">
        <f>SUMIFS(Adjustments!$G:$G,Adjustments!$H:$H,"2B",Adjustments!$I:$I,'Schedule 2B Adjustments'!$V$12,Adjustments!$J:$J,'Schedule 2B Adjustments'!$A66)</f>
        <v>0</v>
      </c>
      <c r="X66" s="326">
        <f t="shared" si="5"/>
        <v>0</v>
      </c>
      <c r="Y66" s="120">
        <f>'As-Filed Schedule 2B'!O66</f>
        <v>0</v>
      </c>
      <c r="Z66" s="313">
        <f>SUMIFS(Adjustments!$G:$G,Adjustments!$H:$H,"2B",Adjustments!$I:$I,'Schedule 2B Adjustments'!$Y$12,Adjustments!$J:$J,'Schedule 2B Adjustments'!$A66)</f>
        <v>0</v>
      </c>
      <c r="AA66" s="326">
        <f t="shared" si="6"/>
        <v>0</v>
      </c>
    </row>
    <row r="67" spans="1:27" x14ac:dyDescent="0.35">
      <c r="A67" s="24">
        <v>53</v>
      </c>
      <c r="B67" s="507" t="str">
        <f>IF('As-Filed Schedule 2B'!B67:D67=0,"",'As-Filed Schedule 2B'!B67:D67)</f>
        <v/>
      </c>
      <c r="C67" s="507"/>
      <c r="D67" s="507"/>
      <c r="F67" s="117">
        <f>'As-Filed Schedule 2B'!F67</f>
        <v>0</v>
      </c>
      <c r="G67" s="313">
        <f>SUMIFS(Adjustments!$G:$G,Adjustments!$H:$H,"2B",Adjustments!$I:$I,'Schedule 2B Adjustments'!$F$12,Adjustments!$J:$J,'Schedule 2B Adjustments'!$A67)</f>
        <v>0</v>
      </c>
      <c r="H67" s="309">
        <f t="shared" si="0"/>
        <v>0</v>
      </c>
      <c r="I67" s="68">
        <f>IFERROR(F67*'As-Filed Schedule 1'!$E$103,0)</f>
        <v>0</v>
      </c>
      <c r="J67" s="310">
        <f>IFERROR(H67*'Adjusted Schedule 1'!$E$104,0)</f>
        <v>0</v>
      </c>
      <c r="K67" s="181">
        <f t="shared" si="1"/>
        <v>0</v>
      </c>
      <c r="L67" s="310">
        <f t="shared" si="7"/>
        <v>0</v>
      </c>
      <c r="N67" s="180">
        <f>'As-Filed Schedule 2B'!J67</f>
        <v>0</v>
      </c>
      <c r="O67" s="313">
        <f>SUMIFS(Adjustments!$G:$G,Adjustments!$H:$H,"2B",Adjustments!$I:$I,'Schedule 2B Adjustments'!$N$12,Adjustments!$J:$J,'Schedule 2B Adjustments'!$A67)</f>
        <v>0</v>
      </c>
      <c r="P67" s="309">
        <f t="shared" si="2"/>
        <v>0</v>
      </c>
      <c r="Q67" s="68">
        <f>IFERROR(N67*'As-Filed Schedule 1'!$E$103,0)</f>
        <v>0</v>
      </c>
      <c r="R67" s="310">
        <f>IFERROR(P67*'Adjusted Schedule 1'!$E$104,0)</f>
        <v>0</v>
      </c>
      <c r="S67" s="68">
        <f t="shared" si="3"/>
        <v>0</v>
      </c>
      <c r="T67" s="310">
        <f t="shared" si="4"/>
        <v>0</v>
      </c>
      <c r="V67" s="120">
        <f>'As-Filed Schedule 2B'!N67</f>
        <v>0</v>
      </c>
      <c r="W67" s="313">
        <f>SUMIFS(Adjustments!$G:$G,Adjustments!$H:$H,"2B",Adjustments!$I:$I,'Schedule 2B Adjustments'!$V$12,Adjustments!$J:$J,'Schedule 2B Adjustments'!$A67)</f>
        <v>0</v>
      </c>
      <c r="X67" s="326">
        <f t="shared" si="5"/>
        <v>0</v>
      </c>
      <c r="Y67" s="120">
        <f>'As-Filed Schedule 2B'!O67</f>
        <v>0</v>
      </c>
      <c r="Z67" s="313">
        <f>SUMIFS(Adjustments!$G:$G,Adjustments!$H:$H,"2B",Adjustments!$I:$I,'Schedule 2B Adjustments'!$Y$12,Adjustments!$J:$J,'Schedule 2B Adjustments'!$A67)</f>
        <v>0</v>
      </c>
      <c r="AA67" s="326">
        <f t="shared" si="6"/>
        <v>0</v>
      </c>
    </row>
    <row r="68" spans="1:27" x14ac:dyDescent="0.35">
      <c r="A68" s="24">
        <v>54</v>
      </c>
      <c r="B68" s="507" t="str">
        <f>IF('As-Filed Schedule 2B'!B68:D68=0,"",'As-Filed Schedule 2B'!B68:D68)</f>
        <v/>
      </c>
      <c r="C68" s="507"/>
      <c r="D68" s="507"/>
      <c r="F68" s="117">
        <f>'As-Filed Schedule 2B'!F68</f>
        <v>0</v>
      </c>
      <c r="G68" s="313">
        <f>SUMIFS(Adjustments!$G:$G,Adjustments!$H:$H,"2B",Adjustments!$I:$I,'Schedule 2B Adjustments'!$F$12,Adjustments!$J:$J,'Schedule 2B Adjustments'!$A68)</f>
        <v>0</v>
      </c>
      <c r="H68" s="309">
        <f t="shared" si="0"/>
        <v>0</v>
      </c>
      <c r="I68" s="68">
        <f>IFERROR(F68*'As-Filed Schedule 1'!$E$103,0)</f>
        <v>0</v>
      </c>
      <c r="J68" s="310">
        <f>IFERROR(H68*'Adjusted Schedule 1'!$E$104,0)</f>
        <v>0</v>
      </c>
      <c r="K68" s="181">
        <f t="shared" si="1"/>
        <v>0</v>
      </c>
      <c r="L68" s="310">
        <f t="shared" si="7"/>
        <v>0</v>
      </c>
      <c r="N68" s="180">
        <f>'As-Filed Schedule 2B'!J68</f>
        <v>0</v>
      </c>
      <c r="O68" s="313">
        <f>SUMIFS(Adjustments!$G:$G,Adjustments!$H:$H,"2B",Adjustments!$I:$I,'Schedule 2B Adjustments'!$N$12,Adjustments!$J:$J,'Schedule 2B Adjustments'!$A68)</f>
        <v>0</v>
      </c>
      <c r="P68" s="309">
        <f t="shared" si="2"/>
        <v>0</v>
      </c>
      <c r="Q68" s="68">
        <f>IFERROR(N68*'As-Filed Schedule 1'!$E$103,0)</f>
        <v>0</v>
      </c>
      <c r="R68" s="310">
        <f>IFERROR(P68*'Adjusted Schedule 1'!$E$104,0)</f>
        <v>0</v>
      </c>
      <c r="S68" s="68">
        <f t="shared" si="3"/>
        <v>0</v>
      </c>
      <c r="T68" s="310">
        <f t="shared" si="4"/>
        <v>0</v>
      </c>
      <c r="V68" s="120">
        <f>'As-Filed Schedule 2B'!N68</f>
        <v>0</v>
      </c>
      <c r="W68" s="313">
        <f>SUMIFS(Adjustments!$G:$G,Adjustments!$H:$H,"2B",Adjustments!$I:$I,'Schedule 2B Adjustments'!$V$12,Adjustments!$J:$J,'Schedule 2B Adjustments'!$A68)</f>
        <v>0</v>
      </c>
      <c r="X68" s="326">
        <f t="shared" si="5"/>
        <v>0</v>
      </c>
      <c r="Y68" s="120">
        <f>'As-Filed Schedule 2B'!O68</f>
        <v>0</v>
      </c>
      <c r="Z68" s="313">
        <f>SUMIFS(Adjustments!$G:$G,Adjustments!$H:$H,"2B",Adjustments!$I:$I,'Schedule 2B Adjustments'!$Y$12,Adjustments!$J:$J,'Schedule 2B Adjustments'!$A68)</f>
        <v>0</v>
      </c>
      <c r="AA68" s="326">
        <f t="shared" si="6"/>
        <v>0</v>
      </c>
    </row>
    <row r="69" spans="1:27" x14ac:dyDescent="0.35">
      <c r="A69" s="24">
        <v>55</v>
      </c>
      <c r="B69" s="507" t="str">
        <f>IF('As-Filed Schedule 2B'!B69:D69=0,"",'As-Filed Schedule 2B'!B69:D69)</f>
        <v/>
      </c>
      <c r="C69" s="507"/>
      <c r="D69" s="507"/>
      <c r="F69" s="117">
        <f>'As-Filed Schedule 2B'!F69</f>
        <v>0</v>
      </c>
      <c r="G69" s="313">
        <f>SUMIFS(Adjustments!$G:$G,Adjustments!$H:$H,"2B",Adjustments!$I:$I,'Schedule 2B Adjustments'!$F$12,Adjustments!$J:$J,'Schedule 2B Adjustments'!$A69)</f>
        <v>0</v>
      </c>
      <c r="H69" s="309">
        <f t="shared" si="0"/>
        <v>0</v>
      </c>
      <c r="I69" s="68">
        <f>IFERROR(F69*'As-Filed Schedule 1'!$E$103,0)</f>
        <v>0</v>
      </c>
      <c r="J69" s="310">
        <f>IFERROR(H69*'Adjusted Schedule 1'!$E$104,0)</f>
        <v>0</v>
      </c>
      <c r="K69" s="181">
        <f t="shared" si="1"/>
        <v>0</v>
      </c>
      <c r="L69" s="310">
        <f t="shared" si="7"/>
        <v>0</v>
      </c>
      <c r="N69" s="180">
        <f>'As-Filed Schedule 2B'!J69</f>
        <v>0</v>
      </c>
      <c r="O69" s="313">
        <f>SUMIFS(Adjustments!$G:$G,Adjustments!$H:$H,"2B",Adjustments!$I:$I,'Schedule 2B Adjustments'!$N$12,Adjustments!$J:$J,'Schedule 2B Adjustments'!$A69)</f>
        <v>0</v>
      </c>
      <c r="P69" s="309">
        <f t="shared" si="2"/>
        <v>0</v>
      </c>
      <c r="Q69" s="68">
        <f>IFERROR(N69*'As-Filed Schedule 1'!$E$103,0)</f>
        <v>0</v>
      </c>
      <c r="R69" s="310">
        <f>IFERROR(P69*'Adjusted Schedule 1'!$E$104,0)</f>
        <v>0</v>
      </c>
      <c r="S69" s="68">
        <f t="shared" si="3"/>
        <v>0</v>
      </c>
      <c r="T69" s="310">
        <f t="shared" si="4"/>
        <v>0</v>
      </c>
      <c r="V69" s="120">
        <f>'As-Filed Schedule 2B'!N69</f>
        <v>0</v>
      </c>
      <c r="W69" s="313">
        <f>SUMIFS(Adjustments!$G:$G,Adjustments!$H:$H,"2B",Adjustments!$I:$I,'Schedule 2B Adjustments'!$V$12,Adjustments!$J:$J,'Schedule 2B Adjustments'!$A69)</f>
        <v>0</v>
      </c>
      <c r="X69" s="326">
        <f t="shared" si="5"/>
        <v>0</v>
      </c>
      <c r="Y69" s="120">
        <f>'As-Filed Schedule 2B'!O69</f>
        <v>0</v>
      </c>
      <c r="Z69" s="313">
        <f>SUMIFS(Adjustments!$G:$G,Adjustments!$H:$H,"2B",Adjustments!$I:$I,'Schedule 2B Adjustments'!$Y$12,Adjustments!$J:$J,'Schedule 2B Adjustments'!$A69)</f>
        <v>0</v>
      </c>
      <c r="AA69" s="326">
        <f t="shared" si="6"/>
        <v>0</v>
      </c>
    </row>
    <row r="70" spans="1:27" x14ac:dyDescent="0.35">
      <c r="A70" s="24">
        <v>56</v>
      </c>
      <c r="B70" s="507" t="str">
        <f>IF('As-Filed Schedule 2B'!B70:D70=0,"",'As-Filed Schedule 2B'!B70:D70)</f>
        <v/>
      </c>
      <c r="C70" s="507"/>
      <c r="D70" s="507"/>
      <c r="F70" s="117">
        <f>'As-Filed Schedule 2B'!F70</f>
        <v>0</v>
      </c>
      <c r="G70" s="313">
        <f>SUMIFS(Adjustments!$G:$G,Adjustments!$H:$H,"2B",Adjustments!$I:$I,'Schedule 2B Adjustments'!$F$12,Adjustments!$J:$J,'Schedule 2B Adjustments'!$A70)</f>
        <v>0</v>
      </c>
      <c r="H70" s="309">
        <f t="shared" si="0"/>
        <v>0</v>
      </c>
      <c r="I70" s="68">
        <f>IFERROR(F70*'As-Filed Schedule 1'!$E$103,0)</f>
        <v>0</v>
      </c>
      <c r="J70" s="310">
        <f>IFERROR(H70*'Adjusted Schedule 1'!$E$104,0)</f>
        <v>0</v>
      </c>
      <c r="K70" s="181">
        <f t="shared" si="1"/>
        <v>0</v>
      </c>
      <c r="L70" s="310">
        <f t="shared" si="7"/>
        <v>0</v>
      </c>
      <c r="N70" s="180">
        <f>'As-Filed Schedule 2B'!J70</f>
        <v>0</v>
      </c>
      <c r="O70" s="313">
        <f>SUMIFS(Adjustments!$G:$G,Adjustments!$H:$H,"2B",Adjustments!$I:$I,'Schedule 2B Adjustments'!$N$12,Adjustments!$J:$J,'Schedule 2B Adjustments'!$A70)</f>
        <v>0</v>
      </c>
      <c r="P70" s="309">
        <f t="shared" si="2"/>
        <v>0</v>
      </c>
      <c r="Q70" s="68">
        <f>IFERROR(N70*'As-Filed Schedule 1'!$E$103,0)</f>
        <v>0</v>
      </c>
      <c r="R70" s="310">
        <f>IFERROR(P70*'Adjusted Schedule 1'!$E$104,0)</f>
        <v>0</v>
      </c>
      <c r="S70" s="68">
        <f t="shared" si="3"/>
        <v>0</v>
      </c>
      <c r="T70" s="310">
        <f t="shared" si="4"/>
        <v>0</v>
      </c>
      <c r="V70" s="120">
        <f>'As-Filed Schedule 2B'!N70</f>
        <v>0</v>
      </c>
      <c r="W70" s="313">
        <f>SUMIFS(Adjustments!$G:$G,Adjustments!$H:$H,"2B",Adjustments!$I:$I,'Schedule 2B Adjustments'!$V$12,Adjustments!$J:$J,'Schedule 2B Adjustments'!$A70)</f>
        <v>0</v>
      </c>
      <c r="X70" s="326">
        <f t="shared" si="5"/>
        <v>0</v>
      </c>
      <c r="Y70" s="120">
        <f>'As-Filed Schedule 2B'!O70</f>
        <v>0</v>
      </c>
      <c r="Z70" s="313">
        <f>SUMIFS(Adjustments!$G:$G,Adjustments!$H:$H,"2B",Adjustments!$I:$I,'Schedule 2B Adjustments'!$Y$12,Adjustments!$J:$J,'Schedule 2B Adjustments'!$A70)</f>
        <v>0</v>
      </c>
      <c r="AA70" s="326">
        <f t="shared" si="6"/>
        <v>0</v>
      </c>
    </row>
    <row r="71" spans="1:27" x14ac:dyDescent="0.35">
      <c r="A71" s="24">
        <v>57</v>
      </c>
      <c r="B71" s="507" t="str">
        <f>IF('As-Filed Schedule 2B'!B71:D71=0,"",'As-Filed Schedule 2B'!B71:D71)</f>
        <v/>
      </c>
      <c r="C71" s="507"/>
      <c r="D71" s="507"/>
      <c r="F71" s="117">
        <f>'As-Filed Schedule 2B'!F71</f>
        <v>0</v>
      </c>
      <c r="G71" s="313">
        <f>SUMIFS(Adjustments!$G:$G,Adjustments!$H:$H,"2B",Adjustments!$I:$I,'Schedule 2B Adjustments'!$F$12,Adjustments!$J:$J,'Schedule 2B Adjustments'!$A71)</f>
        <v>0</v>
      </c>
      <c r="H71" s="309">
        <f t="shared" si="0"/>
        <v>0</v>
      </c>
      <c r="I71" s="68">
        <f>IFERROR(F71*'As-Filed Schedule 1'!$E$103,0)</f>
        <v>0</v>
      </c>
      <c r="J71" s="310">
        <f>IFERROR(H71*'Adjusted Schedule 1'!$E$104,0)</f>
        <v>0</v>
      </c>
      <c r="K71" s="181">
        <f t="shared" si="1"/>
        <v>0</v>
      </c>
      <c r="L71" s="310">
        <f t="shared" si="7"/>
        <v>0</v>
      </c>
      <c r="N71" s="180">
        <f>'As-Filed Schedule 2B'!J71</f>
        <v>0</v>
      </c>
      <c r="O71" s="313">
        <f>SUMIFS(Adjustments!$G:$G,Adjustments!$H:$H,"2B",Adjustments!$I:$I,'Schedule 2B Adjustments'!$N$12,Adjustments!$J:$J,'Schedule 2B Adjustments'!$A71)</f>
        <v>0</v>
      </c>
      <c r="P71" s="309">
        <f t="shared" si="2"/>
        <v>0</v>
      </c>
      <c r="Q71" s="68">
        <f>IFERROR(N71*'As-Filed Schedule 1'!$E$103,0)</f>
        <v>0</v>
      </c>
      <c r="R71" s="310">
        <f>IFERROR(P71*'Adjusted Schedule 1'!$E$104,0)</f>
        <v>0</v>
      </c>
      <c r="S71" s="68">
        <f t="shared" si="3"/>
        <v>0</v>
      </c>
      <c r="T71" s="310">
        <f t="shared" si="4"/>
        <v>0</v>
      </c>
      <c r="V71" s="120">
        <f>'As-Filed Schedule 2B'!N71</f>
        <v>0</v>
      </c>
      <c r="W71" s="313">
        <f>SUMIFS(Adjustments!$G:$G,Adjustments!$H:$H,"2B",Adjustments!$I:$I,'Schedule 2B Adjustments'!$V$12,Adjustments!$J:$J,'Schedule 2B Adjustments'!$A71)</f>
        <v>0</v>
      </c>
      <c r="X71" s="326">
        <f t="shared" si="5"/>
        <v>0</v>
      </c>
      <c r="Y71" s="120">
        <f>'As-Filed Schedule 2B'!O71</f>
        <v>0</v>
      </c>
      <c r="Z71" s="313">
        <f>SUMIFS(Adjustments!$G:$G,Adjustments!$H:$H,"2B",Adjustments!$I:$I,'Schedule 2B Adjustments'!$Y$12,Adjustments!$J:$J,'Schedule 2B Adjustments'!$A71)</f>
        <v>0</v>
      </c>
      <c r="AA71" s="326">
        <f t="shared" si="6"/>
        <v>0</v>
      </c>
    </row>
    <row r="72" spans="1:27" x14ac:dyDescent="0.35">
      <c r="A72" s="24">
        <v>58</v>
      </c>
      <c r="B72" s="507" t="str">
        <f>IF('As-Filed Schedule 2B'!B72:D72=0,"",'As-Filed Schedule 2B'!B72:D72)</f>
        <v/>
      </c>
      <c r="C72" s="507"/>
      <c r="D72" s="507"/>
      <c r="F72" s="117">
        <f>'As-Filed Schedule 2B'!F72</f>
        <v>0</v>
      </c>
      <c r="G72" s="313">
        <f>SUMIFS(Adjustments!$G:$G,Adjustments!$H:$H,"2B",Adjustments!$I:$I,'Schedule 2B Adjustments'!$F$12,Adjustments!$J:$J,'Schedule 2B Adjustments'!$A72)</f>
        <v>0</v>
      </c>
      <c r="H72" s="309">
        <f t="shared" si="0"/>
        <v>0</v>
      </c>
      <c r="I72" s="68">
        <f>IFERROR(F72*'As-Filed Schedule 1'!$E$103,0)</f>
        <v>0</v>
      </c>
      <c r="J72" s="310">
        <f>IFERROR(H72*'Adjusted Schedule 1'!$E$104,0)</f>
        <v>0</v>
      </c>
      <c r="K72" s="181">
        <f t="shared" si="1"/>
        <v>0</v>
      </c>
      <c r="L72" s="310">
        <f t="shared" si="7"/>
        <v>0</v>
      </c>
      <c r="N72" s="180">
        <f>'As-Filed Schedule 2B'!J72</f>
        <v>0</v>
      </c>
      <c r="O72" s="313">
        <f>SUMIFS(Adjustments!$G:$G,Adjustments!$H:$H,"2B",Adjustments!$I:$I,'Schedule 2B Adjustments'!$N$12,Adjustments!$J:$J,'Schedule 2B Adjustments'!$A72)</f>
        <v>0</v>
      </c>
      <c r="P72" s="309">
        <f t="shared" si="2"/>
        <v>0</v>
      </c>
      <c r="Q72" s="68">
        <f>IFERROR(N72*'As-Filed Schedule 1'!$E$103,0)</f>
        <v>0</v>
      </c>
      <c r="R72" s="310">
        <f>IFERROR(P72*'Adjusted Schedule 1'!$E$104,0)</f>
        <v>0</v>
      </c>
      <c r="S72" s="68">
        <f t="shared" si="3"/>
        <v>0</v>
      </c>
      <c r="T72" s="310">
        <f t="shared" si="4"/>
        <v>0</v>
      </c>
      <c r="V72" s="120">
        <f>'As-Filed Schedule 2B'!N72</f>
        <v>0</v>
      </c>
      <c r="W72" s="313">
        <f>SUMIFS(Adjustments!$G:$G,Adjustments!$H:$H,"2B",Adjustments!$I:$I,'Schedule 2B Adjustments'!$V$12,Adjustments!$J:$J,'Schedule 2B Adjustments'!$A72)</f>
        <v>0</v>
      </c>
      <c r="X72" s="326">
        <f t="shared" si="5"/>
        <v>0</v>
      </c>
      <c r="Y72" s="120">
        <f>'As-Filed Schedule 2B'!O72</f>
        <v>0</v>
      </c>
      <c r="Z72" s="313">
        <f>SUMIFS(Adjustments!$G:$G,Adjustments!$H:$H,"2B",Adjustments!$I:$I,'Schedule 2B Adjustments'!$Y$12,Adjustments!$J:$J,'Schedule 2B Adjustments'!$A72)</f>
        <v>0</v>
      </c>
      <c r="AA72" s="326">
        <f t="shared" si="6"/>
        <v>0</v>
      </c>
    </row>
    <row r="73" spans="1:27" x14ac:dyDescent="0.35">
      <c r="A73" s="24">
        <v>59</v>
      </c>
      <c r="F73" s="18">
        <f>SUM(F15:F72)</f>
        <v>2761536.2936235201</v>
      </c>
      <c r="G73" s="320">
        <f t="shared" ref="G73:H73" si="8">SUM(G15:G72)</f>
        <v>0</v>
      </c>
      <c r="H73" s="311">
        <f t="shared" si="8"/>
        <v>2761536.2936235201</v>
      </c>
      <c r="I73" s="18">
        <f t="shared" ref="I73:K73" si="9">SUM(I15:I72)</f>
        <v>1242552.3713349598</v>
      </c>
      <c r="J73" s="311">
        <f t="shared" ref="J73" si="10">SUM(J15:J72)</f>
        <v>1242552.3713349598</v>
      </c>
      <c r="K73" s="18">
        <f t="shared" si="9"/>
        <v>4004088.6649584798</v>
      </c>
      <c r="L73" s="311">
        <f t="shared" ref="L73" si="11">SUM(L15:L72)</f>
        <v>4004088.6649584798</v>
      </c>
      <c r="N73" s="18">
        <f>SUM(N15:N72)</f>
        <v>369791.15939029283</v>
      </c>
      <c r="O73" s="320">
        <f t="shared" ref="O73:P73" si="12">SUM(O15:O72)</f>
        <v>0</v>
      </c>
      <c r="P73" s="311">
        <f t="shared" si="12"/>
        <v>369791.15939029283</v>
      </c>
      <c r="Q73" s="18">
        <f t="shared" ref="Q73:S73" si="13">SUM(Q15:Q72)</f>
        <v>166387.41379574782</v>
      </c>
      <c r="R73" s="310">
        <f>IFERROR(P73*'Adjusted Schedule 1'!$E$104,0)</f>
        <v>166387.41379574782</v>
      </c>
      <c r="S73" s="18">
        <f t="shared" si="13"/>
        <v>536178.57318604062</v>
      </c>
      <c r="T73" s="311">
        <f>SUM(T15:T72)</f>
        <v>536178.57318604062</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460</v>
      </c>
      <c r="F75" s="75">
        <f>K73+S73</f>
        <v>4540267.2381445207</v>
      </c>
      <c r="G75"/>
      <c r="H75" s="334">
        <f>L73+T73</f>
        <v>4540267.2381445207</v>
      </c>
      <c r="I75" s="74"/>
      <c r="J75" s="325"/>
      <c r="K75" s="74"/>
      <c r="L75" s="325"/>
      <c r="M75" s="74"/>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4.9" customHeight="1" x14ac:dyDescent="0.5">
      <c r="A3" s="488" t="s">
        <v>754</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627</v>
      </c>
      <c r="C8" s="1"/>
      <c r="D8" s="119" t="str">
        <f>'As-Filed Schedule 2C'!D8</f>
        <v>Yes</v>
      </c>
      <c r="E8" s="41" t="s">
        <v>259</v>
      </c>
    </row>
    <row r="10" spans="1:27" x14ac:dyDescent="0.35">
      <c r="A10" s="1" t="s">
        <v>254</v>
      </c>
      <c r="B10" s="1" t="s">
        <v>256</v>
      </c>
      <c r="C10" s="1"/>
    </row>
    <row r="11" spans="1:27" x14ac:dyDescent="0.35">
      <c r="B11" s="333" t="s">
        <v>598</v>
      </c>
    </row>
    <row r="12" spans="1:27" x14ac:dyDescent="0.35">
      <c r="B12" s="502">
        <v>1</v>
      </c>
      <c r="C12" s="502"/>
      <c r="D12" s="502"/>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11" t="s">
        <v>612</v>
      </c>
      <c r="C13" s="512"/>
      <c r="D13" s="513"/>
      <c r="F13" s="505" t="s">
        <v>261</v>
      </c>
      <c r="G13" s="510"/>
      <c r="H13" s="510"/>
      <c r="I13" s="510"/>
      <c r="J13" s="510"/>
      <c r="K13" s="510"/>
      <c r="L13" s="506"/>
      <c r="N13" s="505" t="s">
        <v>262</v>
      </c>
      <c r="O13" s="510"/>
      <c r="P13" s="510"/>
      <c r="Q13" s="510"/>
      <c r="R13" s="510"/>
      <c r="S13" s="510"/>
      <c r="T13" s="506"/>
      <c r="V13" s="508" t="s">
        <v>250</v>
      </c>
      <c r="W13" s="563" t="s">
        <v>620</v>
      </c>
      <c r="X13" s="565" t="s">
        <v>621</v>
      </c>
      <c r="Y13" s="504" t="s">
        <v>312</v>
      </c>
      <c r="Z13" s="567" t="s">
        <v>622</v>
      </c>
      <c r="AA13" s="568" t="s">
        <v>623</v>
      </c>
    </row>
    <row r="14" spans="1:27" ht="55.5" customHeight="1" x14ac:dyDescent="0.35">
      <c r="B14" s="514"/>
      <c r="C14" s="515"/>
      <c r="D14" s="516"/>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09"/>
      <c r="W14" s="564"/>
      <c r="X14" s="566"/>
      <c r="Y14" s="504"/>
      <c r="Z14" s="567"/>
      <c r="AA14" s="568"/>
    </row>
    <row r="15" spans="1:27" x14ac:dyDescent="0.35">
      <c r="A15" s="24">
        <v>1</v>
      </c>
      <c r="B15" s="507" t="str">
        <f>IF('As-Filed Schedule 2C'!B15:D15=0,"",'As-Filed Schedule 2C'!B15:D15)</f>
        <v>1882 - CENT INTERNS</v>
      </c>
      <c r="C15" s="507"/>
      <c r="D15" s="507"/>
      <c r="F15" s="117">
        <f>'As-Filed Schedule 2C'!F15</f>
        <v>319708.61218339083</v>
      </c>
      <c r="G15" s="313">
        <f>SUMIFS(Adjustments!$G:$G,Adjustments!$H:$H,"2C",Adjustments!$I:$I,'Schedule 2C Adjustments'!$F$12,Adjustments!$J:$J,'Schedule 2C Adjustments'!$A15)</f>
        <v>0</v>
      </c>
      <c r="H15" s="309">
        <f>SUM(F15:G15)</f>
        <v>319708.61218339083</v>
      </c>
      <c r="I15" s="68">
        <f>IFERROR(F15*'As-Filed Schedule 1'!$E$103,0)</f>
        <v>143852.78771166457</v>
      </c>
      <c r="J15" s="310">
        <f>IFERROR(H15*'Adjusted Schedule 1'!$E$104,0)</f>
        <v>143852.78771166457</v>
      </c>
      <c r="K15" s="68">
        <f>SUM(F15,I15)</f>
        <v>463561.39989505539</v>
      </c>
      <c r="L15" s="310">
        <f>SUM(H15,J15)</f>
        <v>463561.39989505539</v>
      </c>
      <c r="N15" s="117">
        <f>'As-Filed Schedule 2C'!J15</f>
        <v>0</v>
      </c>
      <c r="O15" s="313">
        <f>SUMIFS(Adjustments!$G:$G,Adjustments!$H:$H,"2C",Adjustments!$I:$I,'Schedule 2C Adjustments'!$N$12,Adjustments!$J:$J,'Schedule 2C Adjustments'!$A15)</f>
        <v>0</v>
      </c>
      <c r="P15" s="309">
        <f>SUM(N15:O15)</f>
        <v>0</v>
      </c>
      <c r="Q15" s="68">
        <f>IFERROR(N15*'As-Filed Schedule 1'!$E$103,0)</f>
        <v>0</v>
      </c>
      <c r="R15" s="310">
        <f>IFERROR(P15*'Adjusted Schedule 1'!$E$104,0)</f>
        <v>0</v>
      </c>
      <c r="S15" s="68">
        <f>SUM(N15,Q15)</f>
        <v>0</v>
      </c>
      <c r="T15" s="310">
        <f>SUM(P15,R15)</f>
        <v>0</v>
      </c>
      <c r="V15" s="120">
        <f>'As-Filed Schedule 2C'!N15</f>
        <v>3.5</v>
      </c>
      <c r="W15" s="313">
        <f>SUMIFS(Adjustments!$G:$G,Adjustments!$H:$H,"2C",Adjustments!$I:$I,'Schedule 2C Adjustments'!$V$12,Adjustments!$J:$J,'Schedule 2C Adjustments'!$A15)</f>
        <v>0</v>
      </c>
      <c r="X15" s="309">
        <f>SUM(V15:W15)</f>
        <v>3.5</v>
      </c>
      <c r="Y15" s="120">
        <f>'As-Filed Schedule 2C'!O15</f>
        <v>187</v>
      </c>
      <c r="Z15" s="313">
        <f>SUMIFS(Adjustments!$G:$G,Adjustments!$H:$H,"2C",Adjustments!$I:$I,'Schedule 2C Adjustments'!$Y$12,Adjustments!$J:$J,'Schedule 2C Adjustments'!$A15)</f>
        <v>0</v>
      </c>
      <c r="AA15" s="309">
        <f>SUM(Y15:Z15)</f>
        <v>187</v>
      </c>
    </row>
    <row r="16" spans="1:27" x14ac:dyDescent="0.35">
      <c r="A16" s="24">
        <v>2</v>
      </c>
      <c r="B16" s="507" t="str">
        <f>IF('As-Filed Schedule 2C'!B16:D16=0,"",'As-Filed Schedule 2C'!B16:D16)</f>
        <v>2561 - COMB BH IPS</v>
      </c>
      <c r="C16" s="507"/>
      <c r="D16" s="507"/>
      <c r="F16" s="117">
        <f>'As-Filed Schedule 2C'!F16</f>
        <v>325991.80652588111</v>
      </c>
      <c r="G16" s="313">
        <f>SUMIFS(Adjustments!$G:$G,Adjustments!$H:$H,"2C",Adjustments!$I:$I,'Schedule 2C Adjustments'!$F$12,Adjustments!$J:$J,'Schedule 2C Adjustments'!$A16)</f>
        <v>0</v>
      </c>
      <c r="H16" s="309">
        <f t="shared" ref="H16:H72" si="0">SUM(F16:G16)</f>
        <v>325991.80652588111</v>
      </c>
      <c r="I16" s="68">
        <f>IFERROR(F16*'As-Filed Schedule 1'!$E$103,0)</f>
        <v>146679.90899478761</v>
      </c>
      <c r="J16" s="310">
        <f>IFERROR(H16*'Adjusted Schedule 1'!$E$104,0)</f>
        <v>146679.90899478761</v>
      </c>
      <c r="K16" s="68">
        <f t="shared" ref="K16:K72" si="1">SUM(F16,I16)</f>
        <v>472671.71552066872</v>
      </c>
      <c r="L16" s="310">
        <f t="shared" ref="L16:L72" si="2">SUM(H16,J16)</f>
        <v>472671.71552066872</v>
      </c>
      <c r="N16" s="117">
        <f>'As-Filed Schedule 2C'!J16</f>
        <v>37652.549082016652</v>
      </c>
      <c r="O16" s="313">
        <f>SUMIFS(Adjustments!$G:$G,Adjustments!$H:$H,"2C",Adjustments!$I:$I,'Schedule 2C Adjustments'!$N$12,Adjustments!$J:$J,'Schedule 2C Adjustments'!$A16)</f>
        <v>0</v>
      </c>
      <c r="P16" s="309">
        <f t="shared" ref="P16:P72" si="3">SUM(N16:O16)</f>
        <v>37652.549082016652</v>
      </c>
      <c r="Q16" s="68">
        <f>IFERROR(N16*'As-Filed Schedule 1'!$E$103,0)</f>
        <v>16941.752406692787</v>
      </c>
      <c r="R16" s="310">
        <f>IFERROR(P16*'Adjusted Schedule 1'!$E$104,0)</f>
        <v>16941.752406692787</v>
      </c>
      <c r="S16" s="68">
        <f t="shared" ref="S16:S72" si="4">SUM(N16,Q16)</f>
        <v>54594.30148870944</v>
      </c>
      <c r="T16" s="310">
        <f t="shared" ref="T16:T72" si="5">SUM(P16,R16)</f>
        <v>54594.30148870944</v>
      </c>
      <c r="V16" s="120">
        <f>'As-Filed Schedule 2C'!N16</f>
        <v>3.6666666666666665</v>
      </c>
      <c r="W16" s="313">
        <f>SUMIFS(Adjustments!$G:$G,Adjustments!$H:$H,"2C",Adjustments!$I:$I,'Schedule 2C Adjustments'!$V$12,Adjustments!$J:$J,'Schedule 2C Adjustments'!$A16)</f>
        <v>0</v>
      </c>
      <c r="X16" s="309">
        <f t="shared" ref="X16:X72" si="6">SUM(V16:W16)</f>
        <v>3.6666666666666665</v>
      </c>
      <c r="Y16" s="120">
        <f>'As-Filed Schedule 2C'!O16</f>
        <v>133</v>
      </c>
      <c r="Z16" s="313">
        <f>SUMIFS(Adjustments!$G:$G,Adjustments!$H:$H,"2C",Adjustments!$I:$I,'Schedule 2C Adjustments'!$Y$12,Adjustments!$J:$J,'Schedule 2C Adjustments'!$A16)</f>
        <v>0</v>
      </c>
      <c r="AA16" s="309">
        <f t="shared" ref="AA16:AA72" si="7">SUM(Y16:Z16)</f>
        <v>133</v>
      </c>
    </row>
    <row r="17" spans="1:27" x14ac:dyDescent="0.35">
      <c r="A17" s="24">
        <v>3</v>
      </c>
      <c r="B17" s="507" t="str">
        <f>IF('As-Filed Schedule 2C'!B17:D17=0,"",'As-Filed Schedule 2C'!B17:D17)</f>
        <v>2566 - COMB IPS</v>
      </c>
      <c r="C17" s="507"/>
      <c r="D17" s="507"/>
      <c r="F17" s="117">
        <f>'As-Filed Schedule 2C'!F17</f>
        <v>219684.397570292</v>
      </c>
      <c r="G17" s="313">
        <f>SUMIFS(Adjustments!$G:$G,Adjustments!$H:$H,"2C",Adjustments!$I:$I,'Schedule 2C Adjustments'!$F$12,Adjustments!$J:$J,'Schedule 2C Adjustments'!$A17)</f>
        <v>0</v>
      </c>
      <c r="H17" s="309">
        <f t="shared" si="0"/>
        <v>219684.397570292</v>
      </c>
      <c r="I17" s="68">
        <f>IFERROR(F17*'As-Filed Schedule 1'!$E$103,0)</f>
        <v>98846.924364729086</v>
      </c>
      <c r="J17" s="310">
        <f>IFERROR(H17*'Adjusted Schedule 1'!$E$104,0)</f>
        <v>98846.924364729086</v>
      </c>
      <c r="K17" s="68">
        <f t="shared" si="1"/>
        <v>318531.32193502109</v>
      </c>
      <c r="L17" s="310">
        <f t="shared" si="2"/>
        <v>318531.32193502109</v>
      </c>
      <c r="N17" s="117">
        <f>'As-Filed Schedule 2C'!J17</f>
        <v>27460.549696286511</v>
      </c>
      <c r="O17" s="313">
        <f>SUMIFS(Adjustments!$G:$G,Adjustments!$H:$H,"2C",Adjustments!$I:$I,'Schedule 2C Adjustments'!$N$12,Adjustments!$J:$J,'Schedule 2C Adjustments'!$A17)</f>
        <v>0</v>
      </c>
      <c r="P17" s="309">
        <f t="shared" si="3"/>
        <v>27460.549696286511</v>
      </c>
      <c r="Q17" s="68">
        <f>IFERROR(N17*'As-Filed Schedule 1'!$E$103,0)</f>
        <v>12355.865545591139</v>
      </c>
      <c r="R17" s="310">
        <f>IFERROR(P17*'Adjusted Schedule 1'!$E$104,0)</f>
        <v>12355.865545591139</v>
      </c>
      <c r="S17" s="68">
        <f t="shared" si="4"/>
        <v>39816.41524187765</v>
      </c>
      <c r="T17" s="310">
        <f t="shared" si="5"/>
        <v>39816.41524187765</v>
      </c>
      <c r="V17" s="120">
        <f>'As-Filed Schedule 2C'!N17</f>
        <v>2.7916666666666665</v>
      </c>
      <c r="W17" s="313">
        <f>SUMIFS(Adjustments!$G:$G,Adjustments!$H:$H,"2C",Adjustments!$I:$I,'Schedule 2C Adjustments'!$V$12,Adjustments!$J:$J,'Schedule 2C Adjustments'!$A17)</f>
        <v>0</v>
      </c>
      <c r="X17" s="309">
        <f t="shared" si="6"/>
        <v>2.7916666666666665</v>
      </c>
      <c r="Y17" s="120">
        <f>'As-Filed Schedule 2C'!O17</f>
        <v>74</v>
      </c>
      <c r="Z17" s="313">
        <f>SUMIFS(Adjustments!$G:$G,Adjustments!$H:$H,"2C",Adjustments!$I:$I,'Schedule 2C Adjustments'!$Y$12,Adjustments!$J:$J,'Schedule 2C Adjustments'!$A17)</f>
        <v>0</v>
      </c>
      <c r="AA17" s="309">
        <f t="shared" si="7"/>
        <v>74</v>
      </c>
    </row>
    <row r="18" spans="1:27" x14ac:dyDescent="0.35">
      <c r="A18" s="24">
        <v>4</v>
      </c>
      <c r="B18" s="507" t="str">
        <f>IF('As-Filed Schedule 2C'!B18:D18=0,"",'As-Filed Schedule 2C'!B18:D18)</f>
        <v>2574 - COMB SAMHSA CMHC</v>
      </c>
      <c r="C18" s="507"/>
      <c r="D18" s="507"/>
      <c r="F18" s="117">
        <f>'As-Filed Schedule 2C'!F18</f>
        <v>1099488.3633298918</v>
      </c>
      <c r="G18" s="313">
        <f>SUMIFS(Adjustments!$G:$G,Adjustments!$H:$H,"2C",Adjustments!$I:$I,'Schedule 2C Adjustments'!$F$12,Adjustments!$J:$J,'Schedule 2C Adjustments'!$A18)</f>
        <v>0</v>
      </c>
      <c r="H18" s="309">
        <f t="shared" si="0"/>
        <v>1099488.3633298918</v>
      </c>
      <c r="I18" s="68">
        <f>IFERROR(F18*'As-Filed Schedule 1'!$E$103,0)</f>
        <v>494714.43712881394</v>
      </c>
      <c r="J18" s="310">
        <f>IFERROR(H18*'Adjusted Schedule 1'!$E$104,0)</f>
        <v>494714.43712881394</v>
      </c>
      <c r="K18" s="68">
        <f t="shared" si="1"/>
        <v>1594202.8004587058</v>
      </c>
      <c r="L18" s="310">
        <f>SUM(H18,J18)</f>
        <v>1594202.8004587058</v>
      </c>
      <c r="N18" s="117">
        <f>'As-Filed Schedule 2C'!J18</f>
        <v>667147.17639339215</v>
      </c>
      <c r="O18" s="313">
        <f>SUMIFS(Adjustments!$G:$G,Adjustments!$H:$H,"2C",Adjustments!$I:$I,'Schedule 2C Adjustments'!$N$12,Adjustments!$J:$J,'Schedule 2C Adjustments'!$A18)</f>
        <v>0</v>
      </c>
      <c r="P18" s="309">
        <f t="shared" si="3"/>
        <v>667147.17639339215</v>
      </c>
      <c r="Q18" s="68">
        <f>IFERROR(N18*'As-Filed Schedule 1'!$E$103,0)</f>
        <v>300182.65846121259</v>
      </c>
      <c r="R18" s="310">
        <f>IFERROR(P18*'Adjusted Schedule 1'!$E$104,0)</f>
        <v>300182.65846121259</v>
      </c>
      <c r="S18" s="68">
        <f>SUM(N18,Q18)</f>
        <v>967329.83485460468</v>
      </c>
      <c r="T18" s="310">
        <f t="shared" si="5"/>
        <v>967329.83485460468</v>
      </c>
      <c r="V18" s="120">
        <f>'As-Filed Schedule 2C'!N18</f>
        <v>14.220833333333337</v>
      </c>
      <c r="W18" s="313">
        <f>SUMIFS(Adjustments!$G:$G,Adjustments!$H:$H,"2C",Adjustments!$I:$I,'Schedule 2C Adjustments'!$V$12,Adjustments!$J:$J,'Schedule 2C Adjustments'!$A18)</f>
        <v>0</v>
      </c>
      <c r="X18" s="309">
        <f t="shared" si="6"/>
        <v>14.220833333333337</v>
      </c>
      <c r="Y18" s="120">
        <f>'As-Filed Schedule 2C'!O18</f>
        <v>1994</v>
      </c>
      <c r="Z18" s="313">
        <f>SUMIFS(Adjustments!$G:$G,Adjustments!$H:$H,"2C",Adjustments!$I:$I,'Schedule 2C Adjustments'!$Y$12,Adjustments!$J:$J,'Schedule 2C Adjustments'!$A18)</f>
        <v>0</v>
      </c>
      <c r="AA18" s="309">
        <f t="shared" si="7"/>
        <v>1994</v>
      </c>
    </row>
    <row r="19" spans="1:27" x14ac:dyDescent="0.35">
      <c r="A19" s="24">
        <v>5</v>
      </c>
      <c r="B19" s="507" t="str">
        <f>IF('As-Filed Schedule 2C'!B19:D19=0,"",'As-Filed Schedule 2C'!B19:D19)</f>
        <v>2576 - COMB SAMHSA SERG</v>
      </c>
      <c r="C19" s="507"/>
      <c r="D19" s="507"/>
      <c r="F19" s="117">
        <f>'As-Filed Schedule 2C'!F19</f>
        <v>25273.840723394333</v>
      </c>
      <c r="G19" s="313">
        <f>SUMIFS(Adjustments!$G:$G,Adjustments!$H:$H,"2C",Adjustments!$I:$I,'Schedule 2C Adjustments'!$F$12,Adjustments!$J:$J,'Schedule 2C Adjustments'!$A19)</f>
        <v>0</v>
      </c>
      <c r="H19" s="309">
        <f t="shared" si="0"/>
        <v>25273.840723394333</v>
      </c>
      <c r="I19" s="68">
        <f>IFERROR(F19*'As-Filed Schedule 1'!$E$103,0)</f>
        <v>11371.956543214281</v>
      </c>
      <c r="J19" s="310">
        <f>IFERROR(H19*'Adjusted Schedule 1'!$E$104,0)</f>
        <v>11371.956543214281</v>
      </c>
      <c r="K19" s="68">
        <f t="shared" si="1"/>
        <v>36645.797266608613</v>
      </c>
      <c r="L19" s="310">
        <f t="shared" si="2"/>
        <v>36645.797266608613</v>
      </c>
      <c r="N19" s="117">
        <f>'As-Filed Schedule 2C'!J19</f>
        <v>392317.32157768391</v>
      </c>
      <c r="O19" s="313">
        <f>SUMIFS(Adjustments!$G:$G,Adjustments!$H:$H,"2C",Adjustments!$I:$I,'Schedule 2C Adjustments'!$N$12,Adjustments!$J:$J,'Schedule 2C Adjustments'!$A19)</f>
        <v>0</v>
      </c>
      <c r="P19" s="309">
        <f t="shared" si="3"/>
        <v>392317.32157768391</v>
      </c>
      <c r="Q19" s="68">
        <f>IFERROR(N19*'As-Filed Schedule 1'!$E$103,0)</f>
        <v>176523.05326123245</v>
      </c>
      <c r="R19" s="310">
        <f>IFERROR(P19*'Adjusted Schedule 1'!$E$104,0)</f>
        <v>176523.05326123245</v>
      </c>
      <c r="S19" s="68">
        <f t="shared" si="4"/>
        <v>568840.37483891635</v>
      </c>
      <c r="T19" s="310">
        <f>SUM(P19,R19)</f>
        <v>568840.37483891635</v>
      </c>
      <c r="V19" s="120">
        <f>'As-Filed Schedule 2C'!N19</f>
        <v>3.8358333333333334</v>
      </c>
      <c r="W19" s="313">
        <f>SUMIFS(Adjustments!$G:$G,Adjustments!$H:$H,"2C",Adjustments!$I:$I,'Schedule 2C Adjustments'!$V$12,Adjustments!$J:$J,'Schedule 2C Adjustments'!$A19)</f>
        <v>0</v>
      </c>
      <c r="X19" s="309">
        <f t="shared" si="6"/>
        <v>3.8358333333333334</v>
      </c>
      <c r="Y19" s="120">
        <f>'As-Filed Schedule 2C'!O19</f>
        <v>9</v>
      </c>
      <c r="Z19" s="313">
        <f>SUMIFS(Adjustments!$G:$G,Adjustments!$H:$H,"2C",Adjustments!$I:$I,'Schedule 2C Adjustments'!$Y$12,Adjustments!$J:$J,'Schedule 2C Adjustments'!$A19)</f>
        <v>0</v>
      </c>
      <c r="AA19" s="309">
        <f t="shared" si="7"/>
        <v>9</v>
      </c>
    </row>
    <row r="20" spans="1:27" x14ac:dyDescent="0.35">
      <c r="A20" s="24">
        <v>6</v>
      </c>
      <c r="B20" s="507" t="str">
        <f>IF('As-Filed Schedule 2C'!B20:D20=0,"",'As-Filed Schedule 2C'!B20:D20)</f>
        <v>3080 - CENT CLUBHOUSE</v>
      </c>
      <c r="C20" s="507"/>
      <c r="D20" s="507"/>
      <c r="F20" s="117">
        <f>'As-Filed Schedule 2C'!F20</f>
        <v>5883.0745691844977</v>
      </c>
      <c r="G20" s="313">
        <f>SUMIFS(Adjustments!$G:$G,Adjustments!$H:$H,"2C",Adjustments!$I:$I,'Schedule 2C Adjustments'!$F$12,Adjustments!$J:$J,'Schedule 2C Adjustments'!$A20)</f>
        <v>0</v>
      </c>
      <c r="H20" s="309">
        <f t="shared" si="0"/>
        <v>5883.0745691844977</v>
      </c>
      <c r="I20" s="68">
        <f>IFERROR(F20*'As-Filed Schedule 1'!$E$103,0)</f>
        <v>2647.0875192043263</v>
      </c>
      <c r="J20" s="310">
        <f>IFERROR(H20*'Adjusted Schedule 1'!$E$104,0)</f>
        <v>2647.0875192043263</v>
      </c>
      <c r="K20" s="68">
        <f>SUM(F20,I20)</f>
        <v>8530.1620883888245</v>
      </c>
      <c r="L20" s="310">
        <f t="shared" si="2"/>
        <v>8530.1620883888245</v>
      </c>
      <c r="N20" s="117">
        <f>'As-Filed Schedule 2C'!J20</f>
        <v>0</v>
      </c>
      <c r="O20" s="313">
        <f>SUMIFS(Adjustments!$G:$G,Adjustments!$H:$H,"2C",Adjustments!$I:$I,'Schedule 2C Adjustments'!$N$12,Adjustments!$J:$J,'Schedule 2C Adjustments'!$A20)</f>
        <v>0</v>
      </c>
      <c r="P20" s="309">
        <f t="shared" si="3"/>
        <v>0</v>
      </c>
      <c r="Q20" s="68">
        <f>IFERROR(N20*'As-Filed Schedule 1'!$E$103,0)</f>
        <v>0</v>
      </c>
      <c r="R20" s="310">
        <f>IFERROR(P20*'Adjusted Schedule 1'!$E$104,0)</f>
        <v>0</v>
      </c>
      <c r="S20" s="68">
        <f t="shared" si="4"/>
        <v>0</v>
      </c>
      <c r="T20" s="310">
        <f t="shared" si="5"/>
        <v>0</v>
      </c>
      <c r="V20" s="120">
        <f>'As-Filed Schedule 2C'!N20</f>
        <v>0.08</v>
      </c>
      <c r="W20" s="313">
        <f>SUMIFS(Adjustments!$G:$G,Adjustments!$H:$H,"2C",Adjustments!$I:$I,'Schedule 2C Adjustments'!$V$12,Adjustments!$J:$J,'Schedule 2C Adjustments'!$A20)</f>
        <v>0</v>
      </c>
      <c r="X20" s="309">
        <f t="shared" si="6"/>
        <v>0.08</v>
      </c>
      <c r="Y20" s="120">
        <f>'As-Filed Schedule 2C'!O20</f>
        <v>3</v>
      </c>
      <c r="Z20" s="313">
        <f>SUMIFS(Adjustments!$G:$G,Adjustments!$H:$H,"2C",Adjustments!$I:$I,'Schedule 2C Adjustments'!$Y$12,Adjustments!$J:$J,'Schedule 2C Adjustments'!$A20)</f>
        <v>0</v>
      </c>
      <c r="AA20" s="309">
        <f t="shared" si="7"/>
        <v>3</v>
      </c>
    </row>
    <row r="21" spans="1:27" x14ac:dyDescent="0.35">
      <c r="A21" s="24">
        <v>7</v>
      </c>
      <c r="B21" s="507" t="str">
        <f>IF('As-Filed Schedule 2C'!B21:D21=0,"",'As-Filed Schedule 2C'!B21:D21)</f>
        <v>3501 - RURL CLINICAL</v>
      </c>
      <c r="C21" s="507"/>
      <c r="D21" s="507"/>
      <c r="F21" s="117">
        <f>'As-Filed Schedule 2C'!F21</f>
        <v>635599.8405440246</v>
      </c>
      <c r="G21" s="313">
        <f>SUMIFS(Adjustments!$G:$G,Adjustments!$H:$H,"2C",Adjustments!$I:$I,'Schedule 2C Adjustments'!$F$12,Adjustments!$J:$J,'Schedule 2C Adjustments'!$A21)</f>
        <v>0</v>
      </c>
      <c r="H21" s="309">
        <f t="shared" si="0"/>
        <v>635599.8405440246</v>
      </c>
      <c r="I21" s="68">
        <f>IFERROR(F21*'As-Filed Schedule 1'!$E$103,0)</f>
        <v>285987.94479424239</v>
      </c>
      <c r="J21" s="310">
        <f>IFERROR(H21*'Adjusted Schedule 1'!$E$104,0)</f>
        <v>285987.94479424239</v>
      </c>
      <c r="K21" s="68">
        <f t="shared" si="1"/>
        <v>921587.78533826699</v>
      </c>
      <c r="L21" s="310">
        <f t="shared" si="2"/>
        <v>921587.78533826699</v>
      </c>
      <c r="N21" s="117">
        <f>'As-Filed Schedule 2C'!J21</f>
        <v>0</v>
      </c>
      <c r="O21" s="313">
        <f>SUMIFS(Adjustments!$G:$G,Adjustments!$H:$H,"2C",Adjustments!$I:$I,'Schedule 2C Adjustments'!$N$12,Adjustments!$J:$J,'Schedule 2C Adjustments'!$A21)</f>
        <v>0</v>
      </c>
      <c r="P21" s="309">
        <f t="shared" si="3"/>
        <v>0</v>
      </c>
      <c r="Q21" s="68">
        <f>IFERROR(N21*'As-Filed Schedule 1'!$E$103,0)</f>
        <v>0</v>
      </c>
      <c r="R21" s="310">
        <f>IFERROR(P21*'Adjusted Schedule 1'!$E$104,0)</f>
        <v>0</v>
      </c>
      <c r="S21" s="68">
        <f t="shared" si="4"/>
        <v>0</v>
      </c>
      <c r="T21" s="310">
        <f t="shared" si="5"/>
        <v>0</v>
      </c>
      <c r="V21" s="120">
        <f>'As-Filed Schedule 2C'!N21</f>
        <v>3.5</v>
      </c>
      <c r="W21" s="313">
        <f>SUMIFS(Adjustments!$G:$G,Adjustments!$H:$H,"2C",Adjustments!$I:$I,'Schedule 2C Adjustments'!$V$12,Adjustments!$J:$J,'Schedule 2C Adjustments'!$A21)</f>
        <v>0</v>
      </c>
      <c r="X21" s="309">
        <f t="shared" si="6"/>
        <v>3.5</v>
      </c>
      <c r="Y21" s="120">
        <f>'As-Filed Schedule 2C'!O21</f>
        <v>380</v>
      </c>
      <c r="Z21" s="313">
        <f>SUMIFS(Adjustments!$G:$G,Adjustments!$H:$H,"2C",Adjustments!$I:$I,'Schedule 2C Adjustments'!$Y$12,Adjustments!$J:$J,'Schedule 2C Adjustments'!$A21)</f>
        <v>0</v>
      </c>
      <c r="AA21" s="309">
        <f t="shared" si="7"/>
        <v>380</v>
      </c>
    </row>
    <row r="22" spans="1:27" x14ac:dyDescent="0.35">
      <c r="A22" s="24">
        <v>8</v>
      </c>
      <c r="B22" s="507" t="str">
        <f>IF('As-Filed Schedule 2C'!B22:D22=0,"",'As-Filed Schedule 2C'!B22:D22)</f>
        <v>8001 - YOUTH AND FAMILY COUNSELING</v>
      </c>
      <c r="C22" s="507"/>
      <c r="D22" s="507"/>
      <c r="F22" s="117">
        <f>'As-Filed Schedule 2C'!F22</f>
        <v>1699781.5303419807</v>
      </c>
      <c r="G22" s="313">
        <f>SUMIFS(Adjustments!$G:$G,Adjustments!$H:$H,"2C",Adjustments!$I:$I,'Schedule 2C Adjustments'!$F$12,Adjustments!$J:$J,'Schedule 2C Adjustments'!$A22)</f>
        <v>0</v>
      </c>
      <c r="H22" s="309">
        <f t="shared" si="0"/>
        <v>1699781.5303419807</v>
      </c>
      <c r="I22" s="68">
        <f>IFERROR(F22*'As-Filed Schedule 1'!$E$103,0)</f>
        <v>764816.1554691965</v>
      </c>
      <c r="J22" s="310">
        <f>IFERROR(H22*'Adjusted Schedule 1'!$E$104,0)</f>
        <v>764816.1554691965</v>
      </c>
      <c r="K22" s="68">
        <f t="shared" si="1"/>
        <v>2464597.6858111774</v>
      </c>
      <c r="L22" s="310">
        <f t="shared" si="2"/>
        <v>2464597.6858111774</v>
      </c>
      <c r="N22" s="117">
        <f>'As-Filed Schedule 2C'!J22</f>
        <v>0</v>
      </c>
      <c r="O22" s="313">
        <f>SUMIFS(Adjustments!$G:$G,Adjustments!$H:$H,"2C",Adjustments!$I:$I,'Schedule 2C Adjustments'!$N$12,Adjustments!$J:$J,'Schedule 2C Adjustments'!$A22)</f>
        <v>0</v>
      </c>
      <c r="P22" s="309">
        <f t="shared" si="3"/>
        <v>0</v>
      </c>
      <c r="Q22" s="68">
        <f>IFERROR(N22*'As-Filed Schedule 1'!$E$103,0)</f>
        <v>0</v>
      </c>
      <c r="R22" s="310">
        <f>IFERROR(P22*'Adjusted Schedule 1'!$E$104,0)</f>
        <v>0</v>
      </c>
      <c r="S22" s="68">
        <f t="shared" si="4"/>
        <v>0</v>
      </c>
      <c r="T22" s="310">
        <f t="shared" si="5"/>
        <v>0</v>
      </c>
      <c r="V22" s="120">
        <f>'As-Filed Schedule 2C'!N22</f>
        <v>12.03</v>
      </c>
      <c r="W22" s="313">
        <f>SUMIFS(Adjustments!$G:$G,Adjustments!$H:$H,"2C",Adjustments!$I:$I,'Schedule 2C Adjustments'!$V$12,Adjustments!$J:$J,'Schedule 2C Adjustments'!$A22)</f>
        <v>0</v>
      </c>
      <c r="X22" s="309">
        <f t="shared" si="6"/>
        <v>12.03</v>
      </c>
      <c r="Y22" s="120">
        <f>'As-Filed Schedule 2C'!O22</f>
        <v>1099</v>
      </c>
      <c r="Z22" s="313">
        <f>SUMIFS(Adjustments!$G:$G,Adjustments!$H:$H,"2C",Adjustments!$I:$I,'Schedule 2C Adjustments'!$Y$12,Adjustments!$J:$J,'Schedule 2C Adjustments'!$A22)</f>
        <v>0</v>
      </c>
      <c r="AA22" s="309">
        <f t="shared" si="7"/>
        <v>1099</v>
      </c>
    </row>
    <row r="23" spans="1:27" x14ac:dyDescent="0.35">
      <c r="A23" s="24">
        <v>9</v>
      </c>
      <c r="B23" s="507" t="str">
        <f>IF('As-Filed Schedule 2C'!B23:D23=0,"",'As-Filed Schedule 2C'!B23:D23)</f>
        <v>8002 - ADULT COUNSELING</v>
      </c>
      <c r="C23" s="507"/>
      <c r="D23" s="507"/>
      <c r="F23" s="117">
        <f>'As-Filed Schedule 2C'!F23</f>
        <v>3414302.9796366929</v>
      </c>
      <c r="G23" s="313">
        <f>SUMIFS(Adjustments!$G:$G,Adjustments!$H:$H,"2C",Adjustments!$I:$I,'Schedule 2C Adjustments'!$F$12,Adjustments!$J:$J,'Schedule 2C Adjustments'!$A23)</f>
        <v>0</v>
      </c>
      <c r="H23" s="309">
        <f t="shared" si="0"/>
        <v>3414302.9796366929</v>
      </c>
      <c r="I23" s="68">
        <f>IFERROR(F23*'As-Filed Schedule 1'!$E$103,0)</f>
        <v>1536264.5327528561</v>
      </c>
      <c r="J23" s="310">
        <f>IFERROR(H23*'Adjusted Schedule 1'!$E$104,0)</f>
        <v>1536264.5327528561</v>
      </c>
      <c r="K23" s="68">
        <f t="shared" si="1"/>
        <v>4950567.5123895491</v>
      </c>
      <c r="L23" s="310">
        <f t="shared" si="2"/>
        <v>4950567.5123895491</v>
      </c>
      <c r="N23" s="117">
        <f>'As-Filed Schedule 2C'!J23</f>
        <v>0</v>
      </c>
      <c r="O23" s="313">
        <f>SUMIFS(Adjustments!$G:$G,Adjustments!$H:$H,"2C",Adjustments!$I:$I,'Schedule 2C Adjustments'!$N$12,Adjustments!$J:$J,'Schedule 2C Adjustments'!$A23)</f>
        <v>0</v>
      </c>
      <c r="P23" s="309">
        <f t="shared" si="3"/>
        <v>0</v>
      </c>
      <c r="Q23" s="68">
        <f>IFERROR(N23*'As-Filed Schedule 1'!$E$103,0)</f>
        <v>0</v>
      </c>
      <c r="R23" s="310">
        <f>IFERROR(P23*'Adjusted Schedule 1'!$E$104,0)</f>
        <v>0</v>
      </c>
      <c r="S23" s="68">
        <f t="shared" si="4"/>
        <v>0</v>
      </c>
      <c r="T23" s="310">
        <f t="shared" si="5"/>
        <v>0</v>
      </c>
      <c r="V23" s="120">
        <f>'As-Filed Schedule 2C'!N23</f>
        <v>24.77</v>
      </c>
      <c r="W23" s="313">
        <f>SUMIFS(Adjustments!$G:$G,Adjustments!$H:$H,"2C",Adjustments!$I:$I,'Schedule 2C Adjustments'!$V$12,Adjustments!$J:$J,'Schedule 2C Adjustments'!$A23)</f>
        <v>0</v>
      </c>
      <c r="X23" s="309">
        <f t="shared" si="6"/>
        <v>24.77</v>
      </c>
      <c r="Y23" s="120">
        <f>'As-Filed Schedule 2C'!O23</f>
        <v>2589</v>
      </c>
      <c r="Z23" s="313">
        <f>SUMIFS(Adjustments!$G:$G,Adjustments!$H:$H,"2C",Adjustments!$I:$I,'Schedule 2C Adjustments'!$Y$12,Adjustments!$J:$J,'Schedule 2C Adjustments'!$A23)</f>
        <v>0</v>
      </c>
      <c r="AA23" s="309">
        <f t="shared" si="7"/>
        <v>2589</v>
      </c>
    </row>
    <row r="24" spans="1:27" x14ac:dyDescent="0.35">
      <c r="A24" s="24">
        <v>10</v>
      </c>
      <c r="B24" s="507" t="str">
        <f>IF('As-Filed Schedule 2C'!B24:D24=0,"",'As-Filed Schedule 2C'!B24:D24)</f>
        <v>8003 - SDA (SAME DAY ACCESS)</v>
      </c>
      <c r="C24" s="507"/>
      <c r="D24" s="507"/>
      <c r="F24" s="117">
        <f>'As-Filed Schedule 2C'!F24</f>
        <v>1022800.9220310607</v>
      </c>
      <c r="G24" s="313">
        <f>SUMIFS(Adjustments!$G:$G,Adjustments!$H:$H,"2C",Adjustments!$I:$I,'Schedule 2C Adjustments'!$F$12,Adjustments!$J:$J,'Schedule 2C Adjustments'!$A24)</f>
        <v>0</v>
      </c>
      <c r="H24" s="309">
        <f t="shared" si="0"/>
        <v>1022800.9220310607</v>
      </c>
      <c r="I24" s="68">
        <f>IFERROR(F24*'As-Filed Schedule 1'!$E$103,0)</f>
        <v>460208.94746442069</v>
      </c>
      <c r="J24" s="310">
        <f>IFERROR(H24*'Adjusted Schedule 1'!$E$104,0)</f>
        <v>460208.94746442069</v>
      </c>
      <c r="K24" s="68">
        <f t="shared" si="1"/>
        <v>1483009.8694954813</v>
      </c>
      <c r="L24" s="310">
        <f t="shared" si="2"/>
        <v>1483009.8694954813</v>
      </c>
      <c r="N24" s="117">
        <f>'As-Filed Schedule 2C'!J24</f>
        <v>0</v>
      </c>
      <c r="O24" s="313">
        <f>SUMIFS(Adjustments!$G:$G,Adjustments!$H:$H,"2C",Adjustments!$I:$I,'Schedule 2C Adjustments'!$N$12,Adjustments!$J:$J,'Schedule 2C Adjustments'!$A24)</f>
        <v>0</v>
      </c>
      <c r="P24" s="309">
        <f t="shared" si="3"/>
        <v>0</v>
      </c>
      <c r="Q24" s="68">
        <f>IFERROR(N24*'As-Filed Schedule 1'!$E$103,0)</f>
        <v>0</v>
      </c>
      <c r="R24" s="310">
        <f>IFERROR(P24*'Adjusted Schedule 1'!$E$104,0)</f>
        <v>0</v>
      </c>
      <c r="S24" s="68">
        <f t="shared" si="4"/>
        <v>0</v>
      </c>
      <c r="T24" s="310">
        <f t="shared" si="5"/>
        <v>0</v>
      </c>
      <c r="V24" s="120">
        <f>'As-Filed Schedule 2C'!N24</f>
        <v>7.85</v>
      </c>
      <c r="W24" s="313">
        <f>SUMIFS(Adjustments!$G:$G,Adjustments!$H:$H,"2C",Adjustments!$I:$I,'Schedule 2C Adjustments'!$V$12,Adjustments!$J:$J,'Schedule 2C Adjustments'!$A24)</f>
        <v>0</v>
      </c>
      <c r="X24" s="309">
        <f t="shared" si="6"/>
        <v>7.85</v>
      </c>
      <c r="Y24" s="120">
        <f>'As-Filed Schedule 2C'!O24</f>
        <v>2088</v>
      </c>
      <c r="Z24" s="313">
        <f>SUMIFS(Adjustments!$G:$G,Adjustments!$H:$H,"2C",Adjustments!$I:$I,'Schedule 2C Adjustments'!$Y$12,Adjustments!$J:$J,'Schedule 2C Adjustments'!$A24)</f>
        <v>0</v>
      </c>
      <c r="AA24" s="309">
        <f t="shared" si="7"/>
        <v>2088</v>
      </c>
    </row>
    <row r="25" spans="1:27" x14ac:dyDescent="0.35">
      <c r="A25" s="24">
        <v>11</v>
      </c>
      <c r="B25" s="507" t="str">
        <f>IF('As-Filed Schedule 2C'!B25:D25=0,"",'As-Filed Schedule 2C'!B25:D25)</f>
        <v>8010 - PSYCHIATRY</v>
      </c>
      <c r="C25" s="507"/>
      <c r="D25" s="507"/>
      <c r="F25" s="117">
        <f>'As-Filed Schedule 2C'!F25</f>
        <v>4157647.6433963315</v>
      </c>
      <c r="G25" s="313">
        <f>SUMIFS(Adjustments!$G:$G,Adjustments!$H:$H,"2C",Adjustments!$I:$I,'Schedule 2C Adjustments'!$F$12,Adjustments!$J:$J,'Schedule 2C Adjustments'!$A25)</f>
        <v>0</v>
      </c>
      <c r="H25" s="309">
        <f t="shared" si="0"/>
        <v>4157647.6433963315</v>
      </c>
      <c r="I25" s="68">
        <f>IFERROR(F25*'As-Filed Schedule 1'!$E$103,0)</f>
        <v>1870732.2262633322</v>
      </c>
      <c r="J25" s="310">
        <f>IFERROR(H25*'Adjusted Schedule 1'!$E$104,0)</f>
        <v>1870732.2262633322</v>
      </c>
      <c r="K25" s="68">
        <f t="shared" si="1"/>
        <v>6028379.8696596641</v>
      </c>
      <c r="L25" s="310">
        <f t="shared" si="2"/>
        <v>6028379.8696596641</v>
      </c>
      <c r="N25" s="117">
        <f>'As-Filed Schedule 2C'!J25</f>
        <v>19250.07</v>
      </c>
      <c r="O25" s="313">
        <f>SUMIFS(Adjustments!$G:$G,Adjustments!$H:$H,"2C",Adjustments!$I:$I,'Schedule 2C Adjustments'!$N$12,Adjustments!$J:$J,'Schedule 2C Adjustments'!$A25)</f>
        <v>0</v>
      </c>
      <c r="P25" s="309">
        <f t="shared" si="3"/>
        <v>19250.07</v>
      </c>
      <c r="Q25" s="68">
        <f>IFERROR(N25*'As-Filed Schedule 1'!$E$103,0)</f>
        <v>8661.5628344607485</v>
      </c>
      <c r="R25" s="310">
        <f>IFERROR(P25*'Adjusted Schedule 1'!$E$104,0)</f>
        <v>8661.5628344607485</v>
      </c>
      <c r="S25" s="68">
        <f t="shared" si="4"/>
        <v>27911.632834460746</v>
      </c>
      <c r="T25" s="310">
        <f t="shared" si="5"/>
        <v>27911.632834460746</v>
      </c>
      <c r="V25" s="120">
        <f>'As-Filed Schedule 2C'!N25</f>
        <v>11.31</v>
      </c>
      <c r="W25" s="313">
        <f>SUMIFS(Adjustments!$G:$G,Adjustments!$H:$H,"2C",Adjustments!$I:$I,'Schedule 2C Adjustments'!$V$12,Adjustments!$J:$J,'Schedule 2C Adjustments'!$A25)</f>
        <v>0</v>
      </c>
      <c r="X25" s="309">
        <f t="shared" si="6"/>
        <v>11.31</v>
      </c>
      <c r="Y25" s="120">
        <f>'As-Filed Schedule 2C'!O25</f>
        <v>5133</v>
      </c>
      <c r="Z25" s="313">
        <f>SUMIFS(Adjustments!$G:$G,Adjustments!$H:$H,"2C",Adjustments!$I:$I,'Schedule 2C Adjustments'!$Y$12,Adjustments!$J:$J,'Schedule 2C Adjustments'!$A25)</f>
        <v>0</v>
      </c>
      <c r="AA25" s="309">
        <f t="shared" si="7"/>
        <v>5133</v>
      </c>
    </row>
    <row r="26" spans="1:27" x14ac:dyDescent="0.35">
      <c r="A26" s="24">
        <v>12</v>
      </c>
      <c r="B26" s="507" t="str">
        <f>IF('As-Filed Schedule 2C'!B26:D26=0,"",'As-Filed Schedule 2C'!B26:D26)</f>
        <v>8011 - OUTPATIENT NURSING</v>
      </c>
      <c r="C26" s="507"/>
      <c r="D26" s="507"/>
      <c r="F26" s="117">
        <f>'As-Filed Schedule 2C'!F26</f>
        <v>781324.60275809816</v>
      </c>
      <c r="G26" s="313">
        <f>SUMIFS(Adjustments!$G:$G,Adjustments!$H:$H,"2C",Adjustments!$I:$I,'Schedule 2C Adjustments'!$F$12,Adjustments!$J:$J,'Schedule 2C Adjustments'!$A26)</f>
        <v>0</v>
      </c>
      <c r="H26" s="309">
        <f t="shared" si="0"/>
        <v>781324.60275809816</v>
      </c>
      <c r="I26" s="68">
        <f>IFERROR(F26*'As-Filed Schedule 1'!$E$103,0)</f>
        <v>351556.75490527315</v>
      </c>
      <c r="J26" s="310">
        <f>IFERROR(H26*'Adjusted Schedule 1'!$E$104,0)</f>
        <v>351556.75490527315</v>
      </c>
      <c r="K26" s="68">
        <f t="shared" si="1"/>
        <v>1132881.3576633714</v>
      </c>
      <c r="L26" s="310">
        <f t="shared" si="2"/>
        <v>1132881.3576633714</v>
      </c>
      <c r="N26" s="117">
        <f>'As-Filed Schedule 2C'!J26</f>
        <v>0</v>
      </c>
      <c r="O26" s="313">
        <f>SUMIFS(Adjustments!$G:$G,Adjustments!$H:$H,"2C",Adjustments!$I:$I,'Schedule 2C Adjustments'!$N$12,Adjustments!$J:$J,'Schedule 2C Adjustments'!$A26)</f>
        <v>0</v>
      </c>
      <c r="P26" s="309">
        <f t="shared" si="3"/>
        <v>0</v>
      </c>
      <c r="Q26" s="68">
        <f>IFERROR(N26*'As-Filed Schedule 1'!$E$103,0)</f>
        <v>0</v>
      </c>
      <c r="R26" s="310">
        <f>IFERROR(P26*'Adjusted Schedule 1'!$E$104,0)</f>
        <v>0</v>
      </c>
      <c r="S26" s="68">
        <f t="shared" si="4"/>
        <v>0</v>
      </c>
      <c r="T26" s="310">
        <f t="shared" si="5"/>
        <v>0</v>
      </c>
      <c r="V26" s="120">
        <f>'As-Filed Schedule 2C'!N26</f>
        <v>4.75</v>
      </c>
      <c r="W26" s="313">
        <f>SUMIFS(Adjustments!$G:$G,Adjustments!$H:$H,"2C",Adjustments!$I:$I,'Schedule 2C Adjustments'!$V$12,Adjustments!$J:$J,'Schedule 2C Adjustments'!$A26)</f>
        <v>0</v>
      </c>
      <c r="X26" s="309">
        <f t="shared" si="6"/>
        <v>4.75</v>
      </c>
      <c r="Y26" s="120">
        <f>'As-Filed Schedule 2C'!O26</f>
        <v>2512</v>
      </c>
      <c r="Z26" s="313">
        <f>SUMIFS(Adjustments!$G:$G,Adjustments!$H:$H,"2C",Adjustments!$I:$I,'Schedule 2C Adjustments'!$Y$12,Adjustments!$J:$J,'Schedule 2C Adjustments'!$A26)</f>
        <v>0</v>
      </c>
      <c r="AA26" s="309">
        <f t="shared" si="7"/>
        <v>2512</v>
      </c>
    </row>
    <row r="27" spans="1:27" x14ac:dyDescent="0.35">
      <c r="A27" s="24">
        <v>13</v>
      </c>
      <c r="B27" s="507" t="str">
        <f>IF('As-Filed Schedule 2C'!B27:D27=0,"",'As-Filed Schedule 2C'!B27:D27)</f>
        <v>8020 - ADDICTION SERVICES</v>
      </c>
      <c r="C27" s="507"/>
      <c r="D27" s="507"/>
      <c r="F27" s="117">
        <f>'As-Filed Schedule 2C'!F27</f>
        <v>1381820.4307926111</v>
      </c>
      <c r="G27" s="313">
        <f>SUMIFS(Adjustments!$G:$G,Adjustments!$H:$H,"2C",Adjustments!$I:$I,'Schedule 2C Adjustments'!$F$12,Adjustments!$J:$J,'Schedule 2C Adjustments'!$A27)</f>
        <v>0</v>
      </c>
      <c r="H27" s="309">
        <f t="shared" si="0"/>
        <v>1381820.4307926111</v>
      </c>
      <c r="I27" s="68">
        <f>IFERROR(F27*'As-Filed Schedule 1'!$E$103,0)</f>
        <v>621749.66050782264</v>
      </c>
      <c r="J27" s="310">
        <f>IFERROR(H27*'Adjusted Schedule 1'!$E$104,0)</f>
        <v>621749.66050782264</v>
      </c>
      <c r="K27" s="68">
        <f t="shared" si="1"/>
        <v>2003570.0913004337</v>
      </c>
      <c r="L27" s="310">
        <f t="shared" si="2"/>
        <v>2003570.0913004337</v>
      </c>
      <c r="N27" s="117">
        <f>'As-Filed Schedule 2C'!J27</f>
        <v>99189.914342688557</v>
      </c>
      <c r="O27" s="313">
        <f>SUMIFS(Adjustments!$G:$G,Adjustments!$H:$H,"2C",Adjustments!$I:$I,'Schedule 2C Adjustments'!$N$12,Adjustments!$J:$J,'Schedule 2C Adjustments'!$A27)</f>
        <v>0</v>
      </c>
      <c r="P27" s="309">
        <f t="shared" si="3"/>
        <v>99189.914342688557</v>
      </c>
      <c r="Q27" s="68">
        <f>IFERROR(N27*'As-Filed Schedule 1'!$E$103,0)</f>
        <v>44630.47020732789</v>
      </c>
      <c r="R27" s="310">
        <f>IFERROR(P27*'Adjusted Schedule 1'!$E$104,0)</f>
        <v>44630.47020732789</v>
      </c>
      <c r="S27" s="68">
        <f t="shared" si="4"/>
        <v>143820.38455001643</v>
      </c>
      <c r="T27" s="310">
        <f t="shared" si="5"/>
        <v>143820.38455001643</v>
      </c>
      <c r="V27" s="120">
        <f>'As-Filed Schedule 2C'!N27</f>
        <v>10.53</v>
      </c>
      <c r="W27" s="313">
        <f>SUMIFS(Adjustments!$G:$G,Adjustments!$H:$H,"2C",Adjustments!$I:$I,'Schedule 2C Adjustments'!$V$12,Adjustments!$J:$J,'Schedule 2C Adjustments'!$A27)</f>
        <v>0</v>
      </c>
      <c r="X27" s="309">
        <f t="shared" si="6"/>
        <v>10.53</v>
      </c>
      <c r="Y27" s="120">
        <f>'As-Filed Schedule 2C'!O27</f>
        <v>773</v>
      </c>
      <c r="Z27" s="313">
        <f>SUMIFS(Adjustments!$G:$G,Adjustments!$H:$H,"2C",Adjustments!$I:$I,'Schedule 2C Adjustments'!$Y$12,Adjustments!$J:$J,'Schedule 2C Adjustments'!$A27)</f>
        <v>0</v>
      </c>
      <c r="AA27" s="309">
        <f t="shared" si="7"/>
        <v>773</v>
      </c>
    </row>
    <row r="28" spans="1:27" x14ac:dyDescent="0.35">
      <c r="A28" s="24">
        <v>14</v>
      </c>
      <c r="B28" s="507" t="str">
        <f>IF('As-Filed Schedule 2C'!B28:D28=0,"",'As-Filed Schedule 2C'!B28:D28)</f>
        <v/>
      </c>
      <c r="C28" s="507"/>
      <c r="D28" s="507"/>
      <c r="F28" s="117">
        <f>'As-Filed Schedule 2C'!F28</f>
        <v>0</v>
      </c>
      <c r="G28" s="313">
        <f>SUMIFS(Adjustments!$G:$G,Adjustments!$H:$H,"2C",Adjustments!$I:$I,'Schedule 2C Adjustments'!$F$12,Adjustments!$J:$J,'Schedule 2C Adjustments'!$A28)</f>
        <v>0</v>
      </c>
      <c r="H28" s="309">
        <f t="shared" si="0"/>
        <v>0</v>
      </c>
      <c r="I28" s="68">
        <f>IFERROR(F28*'As-Filed Schedule 1'!$E$103,0)</f>
        <v>0</v>
      </c>
      <c r="J28" s="310">
        <f>IFERROR(H28*'Adjusted Schedule 1'!$E$104,0)</f>
        <v>0</v>
      </c>
      <c r="K28" s="68">
        <f t="shared" si="1"/>
        <v>0</v>
      </c>
      <c r="L28" s="310">
        <f t="shared" si="2"/>
        <v>0</v>
      </c>
      <c r="N28" s="117">
        <f>'As-Filed Schedule 2C'!J28</f>
        <v>0</v>
      </c>
      <c r="O28" s="313">
        <f>SUMIFS(Adjustments!$G:$G,Adjustments!$H:$H,"2C",Adjustments!$I:$I,'Schedule 2C Adjustments'!$N$12,Adjustments!$J:$J,'Schedule 2C Adjustments'!$A28)</f>
        <v>0</v>
      </c>
      <c r="P28" s="309">
        <f t="shared" si="3"/>
        <v>0</v>
      </c>
      <c r="Q28" s="68">
        <f>IFERROR(N28*'As-Filed Schedule 1'!$E$103,0)</f>
        <v>0</v>
      </c>
      <c r="R28" s="310">
        <f>IFERROR(P28*'Adjusted Schedule 1'!$E$104,0)</f>
        <v>0</v>
      </c>
      <c r="S28" s="68">
        <f t="shared" si="4"/>
        <v>0</v>
      </c>
      <c r="T28" s="310">
        <f t="shared" si="5"/>
        <v>0</v>
      </c>
      <c r="V28" s="120">
        <f>'As-Filed Schedule 2C'!N28</f>
        <v>0</v>
      </c>
      <c r="W28" s="313">
        <f>SUMIFS(Adjustments!$G:$G,Adjustments!$H:$H,"2C",Adjustments!$I:$I,'Schedule 2C Adjustments'!$V$12,Adjustments!$J:$J,'Schedule 2C Adjustments'!$A28)</f>
        <v>0</v>
      </c>
      <c r="X28" s="309">
        <f t="shared" si="6"/>
        <v>0</v>
      </c>
      <c r="Y28" s="120">
        <f>'As-Filed Schedule 2C'!O28</f>
        <v>0</v>
      </c>
      <c r="Z28" s="313">
        <f>SUMIFS(Adjustments!$G:$G,Adjustments!$H:$H,"2C",Adjustments!$I:$I,'Schedule 2C Adjustments'!$Y$12,Adjustments!$J:$J,'Schedule 2C Adjustments'!$A28)</f>
        <v>0</v>
      </c>
      <c r="AA28" s="309">
        <f t="shared" si="7"/>
        <v>0</v>
      </c>
    </row>
    <row r="29" spans="1:27" x14ac:dyDescent="0.35">
      <c r="A29" s="24">
        <v>15</v>
      </c>
      <c r="B29" s="507" t="str">
        <f>IF('As-Filed Schedule 2C'!B29:D29=0,"",'As-Filed Schedule 2C'!B29:D29)</f>
        <v/>
      </c>
      <c r="C29" s="507"/>
      <c r="D29" s="507"/>
      <c r="F29" s="117">
        <f>'As-Filed Schedule 2C'!F29</f>
        <v>0</v>
      </c>
      <c r="G29" s="313">
        <f>SUMIFS(Adjustments!$G:$G,Adjustments!$H:$H,"2C",Adjustments!$I:$I,'Schedule 2C Adjustments'!$F$12,Adjustments!$J:$J,'Schedule 2C Adjustments'!$A29)</f>
        <v>0</v>
      </c>
      <c r="H29" s="309">
        <f t="shared" si="0"/>
        <v>0</v>
      </c>
      <c r="I29" s="68">
        <f>IFERROR(F29*'As-Filed Schedule 1'!$E$103,0)</f>
        <v>0</v>
      </c>
      <c r="J29" s="310">
        <f>IFERROR(H29*'Adjusted Schedule 1'!$E$104,0)</f>
        <v>0</v>
      </c>
      <c r="K29" s="68">
        <f t="shared" si="1"/>
        <v>0</v>
      </c>
      <c r="L29" s="310">
        <f t="shared" si="2"/>
        <v>0</v>
      </c>
      <c r="N29" s="117">
        <f>'As-Filed Schedule 2C'!J29</f>
        <v>0</v>
      </c>
      <c r="O29" s="313">
        <f>SUMIFS(Adjustments!$G:$G,Adjustments!$H:$H,"2C",Adjustments!$I:$I,'Schedule 2C Adjustments'!$N$12,Adjustments!$J:$J,'Schedule 2C Adjustments'!$A29)</f>
        <v>0</v>
      </c>
      <c r="P29" s="309">
        <f t="shared" si="3"/>
        <v>0</v>
      </c>
      <c r="Q29" s="68">
        <f>IFERROR(N29*'As-Filed Schedule 1'!$E$103,0)</f>
        <v>0</v>
      </c>
      <c r="R29" s="310">
        <f>IFERROR(P29*'Adjusted Schedule 1'!$E$104,0)</f>
        <v>0</v>
      </c>
      <c r="S29" s="68">
        <f t="shared" si="4"/>
        <v>0</v>
      </c>
      <c r="T29" s="310">
        <f t="shared" si="5"/>
        <v>0</v>
      </c>
      <c r="V29" s="120">
        <f>'As-Filed Schedule 2C'!N29</f>
        <v>0</v>
      </c>
      <c r="W29" s="313">
        <f>SUMIFS(Adjustments!$G:$G,Adjustments!$H:$H,"2C",Adjustments!$I:$I,'Schedule 2C Adjustments'!$V$12,Adjustments!$J:$J,'Schedule 2C Adjustments'!$A29)</f>
        <v>0</v>
      </c>
      <c r="X29" s="309">
        <f t="shared" si="6"/>
        <v>0</v>
      </c>
      <c r="Y29" s="120">
        <f>'As-Filed Schedule 2C'!O29</f>
        <v>0</v>
      </c>
      <c r="Z29" s="313">
        <f>SUMIFS(Adjustments!$G:$G,Adjustments!$H:$H,"2C",Adjustments!$I:$I,'Schedule 2C Adjustments'!$Y$12,Adjustments!$J:$J,'Schedule 2C Adjustments'!$A29)</f>
        <v>0</v>
      </c>
      <c r="AA29" s="309">
        <f t="shared" si="7"/>
        <v>0</v>
      </c>
    </row>
    <row r="30" spans="1:27" x14ac:dyDescent="0.35">
      <c r="A30" s="24">
        <v>16</v>
      </c>
      <c r="B30" s="507" t="str">
        <f>IF('As-Filed Schedule 2C'!B30:D30=0,"",'As-Filed Schedule 2C'!B30:D30)</f>
        <v/>
      </c>
      <c r="C30" s="507"/>
      <c r="D30" s="507"/>
      <c r="F30" s="117">
        <f>'As-Filed Schedule 2C'!F30</f>
        <v>0</v>
      </c>
      <c r="G30" s="313">
        <f>SUMIFS(Adjustments!$G:$G,Adjustments!$H:$H,"2C",Adjustments!$I:$I,'Schedule 2C Adjustments'!$F$12,Adjustments!$J:$J,'Schedule 2C Adjustments'!$A30)</f>
        <v>0</v>
      </c>
      <c r="H30" s="309">
        <f t="shared" si="0"/>
        <v>0</v>
      </c>
      <c r="I30" s="68">
        <f>IFERROR(F30*'As-Filed Schedule 1'!$E$103,0)</f>
        <v>0</v>
      </c>
      <c r="J30" s="310">
        <f>IFERROR(H30*'Adjusted Schedule 1'!$E$104,0)</f>
        <v>0</v>
      </c>
      <c r="K30" s="68">
        <f t="shared" si="1"/>
        <v>0</v>
      </c>
      <c r="L30" s="310">
        <f t="shared" si="2"/>
        <v>0</v>
      </c>
      <c r="N30" s="117">
        <f>'As-Filed Schedule 2C'!J30</f>
        <v>0</v>
      </c>
      <c r="O30" s="313">
        <f>SUMIFS(Adjustments!$G:$G,Adjustments!$H:$H,"2C",Adjustments!$I:$I,'Schedule 2C Adjustments'!$N$12,Adjustments!$J:$J,'Schedule 2C Adjustments'!$A30)</f>
        <v>0</v>
      </c>
      <c r="P30" s="309">
        <f t="shared" si="3"/>
        <v>0</v>
      </c>
      <c r="Q30" s="68">
        <f>IFERROR(N30*'As-Filed Schedule 1'!$E$103,0)</f>
        <v>0</v>
      </c>
      <c r="R30" s="310">
        <f>IFERROR(P30*'Adjusted Schedule 1'!$E$104,0)</f>
        <v>0</v>
      </c>
      <c r="S30" s="68">
        <f t="shared" si="4"/>
        <v>0</v>
      </c>
      <c r="T30" s="310">
        <f t="shared" si="5"/>
        <v>0</v>
      </c>
      <c r="V30" s="120">
        <f>'As-Filed Schedule 2C'!N30</f>
        <v>0</v>
      </c>
      <c r="W30" s="313">
        <f>SUMIFS(Adjustments!$G:$G,Adjustments!$H:$H,"2C",Adjustments!$I:$I,'Schedule 2C Adjustments'!$V$12,Adjustments!$J:$J,'Schedule 2C Adjustments'!$A30)</f>
        <v>0</v>
      </c>
      <c r="X30" s="309">
        <f t="shared" si="6"/>
        <v>0</v>
      </c>
      <c r="Y30" s="120">
        <f>'As-Filed Schedule 2C'!O30</f>
        <v>0</v>
      </c>
      <c r="Z30" s="313">
        <f>SUMIFS(Adjustments!$G:$G,Adjustments!$H:$H,"2C",Adjustments!$I:$I,'Schedule 2C Adjustments'!$Y$12,Adjustments!$J:$J,'Schedule 2C Adjustments'!$A30)</f>
        <v>0</v>
      </c>
      <c r="AA30" s="309">
        <f t="shared" si="7"/>
        <v>0</v>
      </c>
    </row>
    <row r="31" spans="1:27" x14ac:dyDescent="0.35">
      <c r="A31" s="24">
        <v>17</v>
      </c>
      <c r="B31" s="507" t="str">
        <f>IF('As-Filed Schedule 2C'!B31:D31=0,"",'As-Filed Schedule 2C'!B31:D31)</f>
        <v/>
      </c>
      <c r="C31" s="507"/>
      <c r="D31" s="507"/>
      <c r="F31" s="117">
        <f>'As-Filed Schedule 2C'!F31</f>
        <v>0</v>
      </c>
      <c r="G31" s="313">
        <f>SUMIFS(Adjustments!$G:$G,Adjustments!$H:$H,"2C",Adjustments!$I:$I,'Schedule 2C Adjustments'!$F$12,Adjustments!$J:$J,'Schedule 2C Adjustments'!$A31)</f>
        <v>0</v>
      </c>
      <c r="H31" s="309">
        <f t="shared" si="0"/>
        <v>0</v>
      </c>
      <c r="I31" s="68">
        <f>IFERROR(F31*'As-Filed Schedule 1'!$E$103,0)</f>
        <v>0</v>
      </c>
      <c r="J31" s="310">
        <f>IFERROR(H31*'Adjusted Schedule 1'!$E$104,0)</f>
        <v>0</v>
      </c>
      <c r="K31" s="68">
        <f t="shared" si="1"/>
        <v>0</v>
      </c>
      <c r="L31" s="310">
        <f t="shared" si="2"/>
        <v>0</v>
      </c>
      <c r="N31" s="117">
        <f>'As-Filed Schedule 2C'!J31</f>
        <v>0</v>
      </c>
      <c r="O31" s="313">
        <f>SUMIFS(Adjustments!$G:$G,Adjustments!$H:$H,"2C",Adjustments!$I:$I,'Schedule 2C Adjustments'!$N$12,Adjustments!$J:$J,'Schedule 2C Adjustments'!$A31)</f>
        <v>0</v>
      </c>
      <c r="P31" s="309">
        <f t="shared" si="3"/>
        <v>0</v>
      </c>
      <c r="Q31" s="68">
        <f>IFERROR(N31*'As-Filed Schedule 1'!$E$103,0)</f>
        <v>0</v>
      </c>
      <c r="R31" s="310">
        <f>IFERROR(P31*'Adjusted Schedule 1'!$E$104,0)</f>
        <v>0</v>
      </c>
      <c r="S31" s="68">
        <f t="shared" si="4"/>
        <v>0</v>
      </c>
      <c r="T31" s="310">
        <f t="shared" si="5"/>
        <v>0</v>
      </c>
      <c r="V31" s="120">
        <f>'As-Filed Schedule 2C'!N31</f>
        <v>0</v>
      </c>
      <c r="W31" s="313">
        <f>SUMIFS(Adjustments!$G:$G,Adjustments!$H:$H,"2C",Adjustments!$I:$I,'Schedule 2C Adjustments'!$V$12,Adjustments!$J:$J,'Schedule 2C Adjustments'!$A31)</f>
        <v>0</v>
      </c>
      <c r="X31" s="309">
        <f t="shared" si="6"/>
        <v>0</v>
      </c>
      <c r="Y31" s="120">
        <f>'As-Filed Schedule 2C'!O31</f>
        <v>0</v>
      </c>
      <c r="Z31" s="313">
        <f>SUMIFS(Adjustments!$G:$G,Adjustments!$H:$H,"2C",Adjustments!$I:$I,'Schedule 2C Adjustments'!$Y$12,Adjustments!$J:$J,'Schedule 2C Adjustments'!$A31)</f>
        <v>0</v>
      </c>
      <c r="AA31" s="309">
        <f t="shared" si="7"/>
        <v>0</v>
      </c>
    </row>
    <row r="32" spans="1:27" x14ac:dyDescent="0.35">
      <c r="A32" s="24">
        <v>18</v>
      </c>
      <c r="B32" s="507" t="str">
        <f>IF('As-Filed Schedule 2C'!B32:D32=0,"",'As-Filed Schedule 2C'!B32:D32)</f>
        <v/>
      </c>
      <c r="C32" s="507"/>
      <c r="D32" s="507"/>
      <c r="F32" s="117">
        <f>'As-Filed Schedule 2C'!F32</f>
        <v>0</v>
      </c>
      <c r="G32" s="313">
        <f>SUMIFS(Adjustments!$G:$G,Adjustments!$H:$H,"2C",Adjustments!$I:$I,'Schedule 2C Adjustments'!$F$12,Adjustments!$J:$J,'Schedule 2C Adjustments'!$A32)</f>
        <v>0</v>
      </c>
      <c r="H32" s="309">
        <f t="shared" si="0"/>
        <v>0</v>
      </c>
      <c r="I32" s="68">
        <f>IFERROR(F32*'As-Filed Schedule 1'!$E$103,0)</f>
        <v>0</v>
      </c>
      <c r="J32" s="310">
        <f>IFERROR(H32*'Adjusted Schedule 1'!$E$104,0)</f>
        <v>0</v>
      </c>
      <c r="K32" s="68">
        <f t="shared" si="1"/>
        <v>0</v>
      </c>
      <c r="L32" s="310">
        <f t="shared" si="2"/>
        <v>0</v>
      </c>
      <c r="N32" s="117">
        <f>'As-Filed Schedule 2C'!J32</f>
        <v>0</v>
      </c>
      <c r="O32" s="313">
        <f>SUMIFS(Adjustments!$G:$G,Adjustments!$H:$H,"2C",Adjustments!$I:$I,'Schedule 2C Adjustments'!$N$12,Adjustments!$J:$J,'Schedule 2C Adjustments'!$A32)</f>
        <v>0</v>
      </c>
      <c r="P32" s="309">
        <f t="shared" si="3"/>
        <v>0</v>
      </c>
      <c r="Q32" s="68">
        <f>IFERROR(N32*'As-Filed Schedule 1'!$E$103,0)</f>
        <v>0</v>
      </c>
      <c r="R32" s="310">
        <f>IFERROR(P32*'Adjusted Schedule 1'!$E$104,0)</f>
        <v>0</v>
      </c>
      <c r="S32" s="68">
        <f t="shared" si="4"/>
        <v>0</v>
      </c>
      <c r="T32" s="310">
        <f t="shared" si="5"/>
        <v>0</v>
      </c>
      <c r="V32" s="120">
        <f>'As-Filed Schedule 2C'!N32</f>
        <v>0</v>
      </c>
      <c r="W32" s="313">
        <f>SUMIFS(Adjustments!$G:$G,Adjustments!$H:$H,"2C",Adjustments!$I:$I,'Schedule 2C Adjustments'!$V$12,Adjustments!$J:$J,'Schedule 2C Adjustments'!$A32)</f>
        <v>0</v>
      </c>
      <c r="X32" s="309">
        <f t="shared" si="6"/>
        <v>0</v>
      </c>
      <c r="Y32" s="120">
        <f>'As-Filed Schedule 2C'!O32</f>
        <v>0</v>
      </c>
      <c r="Z32" s="313">
        <f>SUMIFS(Adjustments!$G:$G,Adjustments!$H:$H,"2C",Adjustments!$I:$I,'Schedule 2C Adjustments'!$Y$12,Adjustments!$J:$J,'Schedule 2C Adjustments'!$A32)</f>
        <v>0</v>
      </c>
      <c r="AA32" s="309">
        <f t="shared" si="7"/>
        <v>0</v>
      </c>
    </row>
    <row r="33" spans="1:27" x14ac:dyDescent="0.35">
      <c r="A33" s="24">
        <v>19</v>
      </c>
      <c r="B33" s="507" t="str">
        <f>IF('As-Filed Schedule 2C'!B33:D33=0,"",'As-Filed Schedule 2C'!B33:D33)</f>
        <v/>
      </c>
      <c r="C33" s="507"/>
      <c r="D33" s="507"/>
      <c r="F33" s="117">
        <f>'As-Filed Schedule 2C'!F33</f>
        <v>0</v>
      </c>
      <c r="G33" s="313">
        <f>SUMIFS(Adjustments!$G:$G,Adjustments!$H:$H,"2C",Adjustments!$I:$I,'Schedule 2C Adjustments'!$F$12,Adjustments!$J:$J,'Schedule 2C Adjustments'!$A33)</f>
        <v>0</v>
      </c>
      <c r="H33" s="309">
        <f t="shared" si="0"/>
        <v>0</v>
      </c>
      <c r="I33" s="68">
        <f>IFERROR(F33*'As-Filed Schedule 1'!$E$103,0)</f>
        <v>0</v>
      </c>
      <c r="J33" s="310">
        <f>IFERROR(H33*'Adjusted Schedule 1'!$E$104,0)</f>
        <v>0</v>
      </c>
      <c r="K33" s="68">
        <f t="shared" si="1"/>
        <v>0</v>
      </c>
      <c r="L33" s="310">
        <f t="shared" si="2"/>
        <v>0</v>
      </c>
      <c r="N33" s="117">
        <f>'As-Filed Schedule 2C'!J33</f>
        <v>0</v>
      </c>
      <c r="O33" s="313">
        <f>SUMIFS(Adjustments!$G:$G,Adjustments!$H:$H,"2C",Adjustments!$I:$I,'Schedule 2C Adjustments'!$N$12,Adjustments!$J:$J,'Schedule 2C Adjustments'!$A33)</f>
        <v>0</v>
      </c>
      <c r="P33" s="309">
        <f t="shared" si="3"/>
        <v>0</v>
      </c>
      <c r="Q33" s="68">
        <f>IFERROR(N33*'As-Filed Schedule 1'!$E$103,0)</f>
        <v>0</v>
      </c>
      <c r="R33" s="310">
        <f>IFERROR(P33*'Adjusted Schedule 1'!$E$104,0)</f>
        <v>0</v>
      </c>
      <c r="S33" s="68">
        <f t="shared" si="4"/>
        <v>0</v>
      </c>
      <c r="T33" s="310">
        <f t="shared" si="5"/>
        <v>0</v>
      </c>
      <c r="V33" s="120">
        <f>'As-Filed Schedule 2C'!N33</f>
        <v>0</v>
      </c>
      <c r="W33" s="313">
        <f>SUMIFS(Adjustments!$G:$G,Adjustments!$H:$H,"2C",Adjustments!$I:$I,'Schedule 2C Adjustments'!$V$12,Adjustments!$J:$J,'Schedule 2C Adjustments'!$A33)</f>
        <v>0</v>
      </c>
      <c r="X33" s="309">
        <f t="shared" si="6"/>
        <v>0</v>
      </c>
      <c r="Y33" s="120">
        <f>'As-Filed Schedule 2C'!O33</f>
        <v>0</v>
      </c>
      <c r="Z33" s="313">
        <f>SUMIFS(Adjustments!$G:$G,Adjustments!$H:$H,"2C",Adjustments!$I:$I,'Schedule 2C Adjustments'!$Y$12,Adjustments!$J:$J,'Schedule 2C Adjustments'!$A33)</f>
        <v>0</v>
      </c>
      <c r="AA33" s="309">
        <f t="shared" si="7"/>
        <v>0</v>
      </c>
    </row>
    <row r="34" spans="1:27" x14ac:dyDescent="0.35">
      <c r="A34" s="24">
        <v>20</v>
      </c>
      <c r="B34" s="507" t="str">
        <f>IF('As-Filed Schedule 2C'!B34:D34=0,"",'As-Filed Schedule 2C'!B34:D34)</f>
        <v/>
      </c>
      <c r="C34" s="507"/>
      <c r="D34" s="507"/>
      <c r="F34" s="117">
        <f>'As-Filed Schedule 2C'!F34</f>
        <v>0</v>
      </c>
      <c r="G34" s="313">
        <f>SUMIFS(Adjustments!$G:$G,Adjustments!$H:$H,"2C",Adjustments!$I:$I,'Schedule 2C Adjustments'!$F$12,Adjustments!$J:$J,'Schedule 2C Adjustments'!$A34)</f>
        <v>0</v>
      </c>
      <c r="H34" s="309">
        <f t="shared" si="0"/>
        <v>0</v>
      </c>
      <c r="I34" s="68">
        <f>IFERROR(F34*'As-Filed Schedule 1'!$E$103,0)</f>
        <v>0</v>
      </c>
      <c r="J34" s="310">
        <f>IFERROR(H34*'Adjusted Schedule 1'!$E$104,0)</f>
        <v>0</v>
      </c>
      <c r="K34" s="68">
        <f t="shared" si="1"/>
        <v>0</v>
      </c>
      <c r="L34" s="310">
        <f t="shared" si="2"/>
        <v>0</v>
      </c>
      <c r="N34" s="117">
        <f>'As-Filed Schedule 2C'!J34</f>
        <v>0</v>
      </c>
      <c r="O34" s="313">
        <f>SUMIFS(Adjustments!$G:$G,Adjustments!$H:$H,"2C",Adjustments!$I:$I,'Schedule 2C Adjustments'!$N$12,Adjustments!$J:$J,'Schedule 2C Adjustments'!$A34)</f>
        <v>0</v>
      </c>
      <c r="P34" s="309">
        <f t="shared" si="3"/>
        <v>0</v>
      </c>
      <c r="Q34" s="68">
        <f>IFERROR(N34*'As-Filed Schedule 1'!$E$103,0)</f>
        <v>0</v>
      </c>
      <c r="R34" s="310">
        <f>IFERROR(P34*'Adjusted Schedule 1'!$E$104,0)</f>
        <v>0</v>
      </c>
      <c r="S34" s="68">
        <f t="shared" si="4"/>
        <v>0</v>
      </c>
      <c r="T34" s="310">
        <f t="shared" si="5"/>
        <v>0</v>
      </c>
      <c r="V34" s="120">
        <f>'As-Filed Schedule 2C'!N34</f>
        <v>0</v>
      </c>
      <c r="W34" s="313">
        <f>SUMIFS(Adjustments!$G:$G,Adjustments!$H:$H,"2C",Adjustments!$I:$I,'Schedule 2C Adjustments'!$V$12,Adjustments!$J:$J,'Schedule 2C Adjustments'!$A34)</f>
        <v>0</v>
      </c>
      <c r="X34" s="309">
        <f t="shared" si="6"/>
        <v>0</v>
      </c>
      <c r="Y34" s="120">
        <f>'As-Filed Schedule 2C'!O34</f>
        <v>0</v>
      </c>
      <c r="Z34" s="313">
        <f>SUMIFS(Adjustments!$G:$G,Adjustments!$H:$H,"2C",Adjustments!$I:$I,'Schedule 2C Adjustments'!$Y$12,Adjustments!$J:$J,'Schedule 2C Adjustments'!$A34)</f>
        <v>0</v>
      </c>
      <c r="AA34" s="309">
        <f t="shared" si="7"/>
        <v>0</v>
      </c>
    </row>
    <row r="35" spans="1:27" x14ac:dyDescent="0.35">
      <c r="A35" s="24">
        <v>21</v>
      </c>
      <c r="B35" s="507" t="str">
        <f>IF('As-Filed Schedule 2C'!B35:D35=0,"",'As-Filed Schedule 2C'!B35:D35)</f>
        <v/>
      </c>
      <c r="C35" s="507"/>
      <c r="D35" s="507"/>
      <c r="F35" s="117">
        <f>'As-Filed Schedule 2C'!F35</f>
        <v>0</v>
      </c>
      <c r="G35" s="313">
        <f>SUMIFS(Adjustments!$G:$G,Adjustments!$H:$H,"2C",Adjustments!$I:$I,'Schedule 2C Adjustments'!$F$12,Adjustments!$J:$J,'Schedule 2C Adjustments'!$A35)</f>
        <v>0</v>
      </c>
      <c r="H35" s="309">
        <f t="shared" si="0"/>
        <v>0</v>
      </c>
      <c r="I35" s="68">
        <f>IFERROR(F35*'As-Filed Schedule 1'!$E$103,0)</f>
        <v>0</v>
      </c>
      <c r="J35" s="310">
        <f>IFERROR(H35*'Adjusted Schedule 1'!$E$104,0)</f>
        <v>0</v>
      </c>
      <c r="K35" s="68">
        <f t="shared" si="1"/>
        <v>0</v>
      </c>
      <c r="L35" s="310">
        <f t="shared" si="2"/>
        <v>0</v>
      </c>
      <c r="N35" s="117">
        <f>'As-Filed Schedule 2C'!J35</f>
        <v>0</v>
      </c>
      <c r="O35" s="313">
        <f>SUMIFS(Adjustments!$G:$G,Adjustments!$H:$H,"2C",Adjustments!$I:$I,'Schedule 2C Adjustments'!$N$12,Adjustments!$J:$J,'Schedule 2C Adjustments'!$A35)</f>
        <v>0</v>
      </c>
      <c r="P35" s="309">
        <f t="shared" si="3"/>
        <v>0</v>
      </c>
      <c r="Q35" s="68">
        <f>IFERROR(N35*'As-Filed Schedule 1'!$E$103,0)</f>
        <v>0</v>
      </c>
      <c r="R35" s="310">
        <f>IFERROR(P35*'Adjusted Schedule 1'!$E$104,0)</f>
        <v>0</v>
      </c>
      <c r="S35" s="68">
        <f t="shared" si="4"/>
        <v>0</v>
      </c>
      <c r="T35" s="310">
        <f t="shared" si="5"/>
        <v>0</v>
      </c>
      <c r="V35" s="120">
        <f>'As-Filed Schedule 2C'!N35</f>
        <v>0</v>
      </c>
      <c r="W35" s="313">
        <f>SUMIFS(Adjustments!$G:$G,Adjustments!$H:$H,"2C",Adjustments!$I:$I,'Schedule 2C Adjustments'!$V$12,Adjustments!$J:$J,'Schedule 2C Adjustments'!$A35)</f>
        <v>0</v>
      </c>
      <c r="X35" s="309">
        <f t="shared" si="6"/>
        <v>0</v>
      </c>
      <c r="Y35" s="120">
        <f>'As-Filed Schedule 2C'!O35</f>
        <v>0</v>
      </c>
      <c r="Z35" s="313">
        <f>SUMIFS(Adjustments!$G:$G,Adjustments!$H:$H,"2C",Adjustments!$I:$I,'Schedule 2C Adjustments'!$Y$12,Adjustments!$J:$J,'Schedule 2C Adjustments'!$A35)</f>
        <v>0</v>
      </c>
      <c r="AA35" s="309">
        <f t="shared" si="7"/>
        <v>0</v>
      </c>
    </row>
    <row r="36" spans="1:27" x14ac:dyDescent="0.35">
      <c r="A36" s="24">
        <v>22</v>
      </c>
      <c r="B36" s="507" t="str">
        <f>IF('As-Filed Schedule 2C'!B36:D36=0,"",'As-Filed Schedule 2C'!B36:D36)</f>
        <v/>
      </c>
      <c r="C36" s="507"/>
      <c r="D36" s="507"/>
      <c r="F36" s="117">
        <f>'As-Filed Schedule 2C'!F36</f>
        <v>0</v>
      </c>
      <c r="G36" s="313">
        <f>SUMIFS(Adjustments!$G:$G,Adjustments!$H:$H,"2C",Adjustments!$I:$I,'Schedule 2C Adjustments'!$F$12,Adjustments!$J:$J,'Schedule 2C Adjustments'!$A36)</f>
        <v>0</v>
      </c>
      <c r="H36" s="309">
        <f t="shared" si="0"/>
        <v>0</v>
      </c>
      <c r="I36" s="68">
        <f>IFERROR(F36*'As-Filed Schedule 1'!$E$103,0)</f>
        <v>0</v>
      </c>
      <c r="J36" s="310">
        <f>IFERROR(H36*'Adjusted Schedule 1'!$E$104,0)</f>
        <v>0</v>
      </c>
      <c r="K36" s="68">
        <f t="shared" si="1"/>
        <v>0</v>
      </c>
      <c r="L36" s="310">
        <f t="shared" si="2"/>
        <v>0</v>
      </c>
      <c r="N36" s="117">
        <f>'As-Filed Schedule 2C'!J36</f>
        <v>0</v>
      </c>
      <c r="O36" s="313">
        <f>SUMIFS(Adjustments!$G:$G,Adjustments!$H:$H,"2C",Adjustments!$I:$I,'Schedule 2C Adjustments'!$N$12,Adjustments!$J:$J,'Schedule 2C Adjustments'!$A36)</f>
        <v>0</v>
      </c>
      <c r="P36" s="309">
        <f t="shared" si="3"/>
        <v>0</v>
      </c>
      <c r="Q36" s="68">
        <f>IFERROR(N36*'As-Filed Schedule 1'!$E$103,0)</f>
        <v>0</v>
      </c>
      <c r="R36" s="310">
        <f>IFERROR(P36*'Adjusted Schedule 1'!$E$104,0)</f>
        <v>0</v>
      </c>
      <c r="S36" s="68">
        <f t="shared" si="4"/>
        <v>0</v>
      </c>
      <c r="T36" s="310">
        <f t="shared" si="5"/>
        <v>0</v>
      </c>
      <c r="V36" s="120">
        <f>'As-Filed Schedule 2C'!N36</f>
        <v>0</v>
      </c>
      <c r="W36" s="313">
        <f>SUMIFS(Adjustments!$G:$G,Adjustments!$H:$H,"2C",Adjustments!$I:$I,'Schedule 2C Adjustments'!$V$12,Adjustments!$J:$J,'Schedule 2C Adjustments'!$A36)</f>
        <v>0</v>
      </c>
      <c r="X36" s="309">
        <f t="shared" si="6"/>
        <v>0</v>
      </c>
      <c r="Y36" s="120">
        <f>'As-Filed Schedule 2C'!O36</f>
        <v>0</v>
      </c>
      <c r="Z36" s="313">
        <f>SUMIFS(Adjustments!$G:$G,Adjustments!$H:$H,"2C",Adjustments!$I:$I,'Schedule 2C Adjustments'!$Y$12,Adjustments!$J:$J,'Schedule 2C Adjustments'!$A36)</f>
        <v>0</v>
      </c>
      <c r="AA36" s="309">
        <f t="shared" si="7"/>
        <v>0</v>
      </c>
    </row>
    <row r="37" spans="1:27" x14ac:dyDescent="0.35">
      <c r="A37" s="24">
        <v>23</v>
      </c>
      <c r="B37" s="507" t="str">
        <f>IF('As-Filed Schedule 2C'!B37:D37=0,"",'As-Filed Schedule 2C'!B37:D37)</f>
        <v/>
      </c>
      <c r="C37" s="507"/>
      <c r="D37" s="507"/>
      <c r="F37" s="117">
        <f>'As-Filed Schedule 2C'!F37</f>
        <v>0</v>
      </c>
      <c r="G37" s="313">
        <f>SUMIFS(Adjustments!$G:$G,Adjustments!$H:$H,"2C",Adjustments!$I:$I,'Schedule 2C Adjustments'!$F$12,Adjustments!$J:$J,'Schedule 2C Adjustments'!$A37)</f>
        <v>0</v>
      </c>
      <c r="H37" s="309">
        <f t="shared" si="0"/>
        <v>0</v>
      </c>
      <c r="I37" s="68">
        <f>IFERROR(F37*'As-Filed Schedule 1'!$E$103,0)</f>
        <v>0</v>
      </c>
      <c r="J37" s="310">
        <f>IFERROR(H37*'Adjusted Schedule 1'!$E$104,0)</f>
        <v>0</v>
      </c>
      <c r="K37" s="68">
        <f t="shared" si="1"/>
        <v>0</v>
      </c>
      <c r="L37" s="310">
        <f t="shared" si="2"/>
        <v>0</v>
      </c>
      <c r="N37" s="117">
        <f>'As-Filed Schedule 2C'!J37</f>
        <v>0</v>
      </c>
      <c r="O37" s="313">
        <f>SUMIFS(Adjustments!$G:$G,Adjustments!$H:$H,"2C",Adjustments!$I:$I,'Schedule 2C Adjustments'!$N$12,Adjustments!$J:$J,'Schedule 2C Adjustments'!$A37)</f>
        <v>0</v>
      </c>
      <c r="P37" s="309">
        <f t="shared" si="3"/>
        <v>0</v>
      </c>
      <c r="Q37" s="68">
        <f>IFERROR(N37*'As-Filed Schedule 1'!$E$103,0)</f>
        <v>0</v>
      </c>
      <c r="R37" s="310">
        <f>IFERROR(P37*'Adjusted Schedule 1'!$E$104,0)</f>
        <v>0</v>
      </c>
      <c r="S37" s="68">
        <f t="shared" si="4"/>
        <v>0</v>
      </c>
      <c r="T37" s="310">
        <f t="shared" si="5"/>
        <v>0</v>
      </c>
      <c r="V37" s="120">
        <f>'As-Filed Schedule 2C'!N37</f>
        <v>0</v>
      </c>
      <c r="W37" s="313">
        <f>SUMIFS(Adjustments!$G:$G,Adjustments!$H:$H,"2C",Adjustments!$I:$I,'Schedule 2C Adjustments'!$V$12,Adjustments!$J:$J,'Schedule 2C Adjustments'!$A37)</f>
        <v>0</v>
      </c>
      <c r="X37" s="309">
        <f t="shared" si="6"/>
        <v>0</v>
      </c>
      <c r="Y37" s="120">
        <f>'As-Filed Schedule 2C'!O37</f>
        <v>0</v>
      </c>
      <c r="Z37" s="313">
        <f>SUMIFS(Adjustments!$G:$G,Adjustments!$H:$H,"2C",Adjustments!$I:$I,'Schedule 2C Adjustments'!$Y$12,Adjustments!$J:$J,'Schedule 2C Adjustments'!$A37)</f>
        <v>0</v>
      </c>
      <c r="AA37" s="309">
        <f t="shared" si="7"/>
        <v>0</v>
      </c>
    </row>
    <row r="38" spans="1:27" x14ac:dyDescent="0.35">
      <c r="A38" s="24">
        <v>24</v>
      </c>
      <c r="B38" s="507" t="str">
        <f>IF('As-Filed Schedule 2C'!B38:D38=0,"",'As-Filed Schedule 2C'!B38:D38)</f>
        <v/>
      </c>
      <c r="C38" s="507"/>
      <c r="D38" s="507"/>
      <c r="F38" s="117">
        <f>'As-Filed Schedule 2C'!F38</f>
        <v>0</v>
      </c>
      <c r="G38" s="313">
        <f>SUMIFS(Adjustments!$G:$G,Adjustments!$H:$H,"2C",Adjustments!$I:$I,'Schedule 2C Adjustments'!$F$12,Adjustments!$J:$J,'Schedule 2C Adjustments'!$A38)</f>
        <v>0</v>
      </c>
      <c r="H38" s="309">
        <f t="shared" si="0"/>
        <v>0</v>
      </c>
      <c r="I38" s="68">
        <f>IFERROR(F38*'As-Filed Schedule 1'!$E$103,0)</f>
        <v>0</v>
      </c>
      <c r="J38" s="310">
        <f>IFERROR(H38*'Adjusted Schedule 1'!$E$104,0)</f>
        <v>0</v>
      </c>
      <c r="K38" s="68">
        <f t="shared" si="1"/>
        <v>0</v>
      </c>
      <c r="L38" s="310">
        <f t="shared" si="2"/>
        <v>0</v>
      </c>
      <c r="N38" s="117">
        <f>'As-Filed Schedule 2C'!J38</f>
        <v>0</v>
      </c>
      <c r="O38" s="313">
        <f>SUMIFS(Adjustments!$G:$G,Adjustments!$H:$H,"2C",Adjustments!$I:$I,'Schedule 2C Adjustments'!$N$12,Adjustments!$J:$J,'Schedule 2C Adjustments'!$A38)</f>
        <v>0</v>
      </c>
      <c r="P38" s="309">
        <f t="shared" si="3"/>
        <v>0</v>
      </c>
      <c r="Q38" s="68">
        <f>IFERROR(N38*'As-Filed Schedule 1'!$E$103,0)</f>
        <v>0</v>
      </c>
      <c r="R38" s="310">
        <f>IFERROR(P38*'Adjusted Schedule 1'!$E$104,0)</f>
        <v>0</v>
      </c>
      <c r="S38" s="68">
        <f t="shared" si="4"/>
        <v>0</v>
      </c>
      <c r="T38" s="310">
        <f t="shared" si="5"/>
        <v>0</v>
      </c>
      <c r="V38" s="120">
        <f>'As-Filed Schedule 2C'!N38</f>
        <v>0</v>
      </c>
      <c r="W38" s="313">
        <f>SUMIFS(Adjustments!$G:$G,Adjustments!$H:$H,"2C",Adjustments!$I:$I,'Schedule 2C Adjustments'!$V$12,Adjustments!$J:$J,'Schedule 2C Adjustments'!$A38)</f>
        <v>0</v>
      </c>
      <c r="X38" s="309">
        <f t="shared" si="6"/>
        <v>0</v>
      </c>
      <c r="Y38" s="120">
        <f>'As-Filed Schedule 2C'!O38</f>
        <v>0</v>
      </c>
      <c r="Z38" s="313">
        <f>SUMIFS(Adjustments!$G:$G,Adjustments!$H:$H,"2C",Adjustments!$I:$I,'Schedule 2C Adjustments'!$Y$12,Adjustments!$J:$J,'Schedule 2C Adjustments'!$A38)</f>
        <v>0</v>
      </c>
      <c r="AA38" s="309">
        <f t="shared" si="7"/>
        <v>0</v>
      </c>
    </row>
    <row r="39" spans="1:27" x14ac:dyDescent="0.35">
      <c r="A39" s="24">
        <v>25</v>
      </c>
      <c r="B39" s="507" t="str">
        <f>IF('As-Filed Schedule 2C'!B39:D39=0,"",'As-Filed Schedule 2C'!B39:D39)</f>
        <v/>
      </c>
      <c r="C39" s="507"/>
      <c r="D39" s="507"/>
      <c r="F39" s="117">
        <f>'As-Filed Schedule 2C'!F39</f>
        <v>0</v>
      </c>
      <c r="G39" s="313">
        <f>SUMIFS(Adjustments!$G:$G,Adjustments!$H:$H,"2C",Adjustments!$I:$I,'Schedule 2C Adjustments'!$F$12,Adjustments!$J:$J,'Schedule 2C Adjustments'!$A39)</f>
        <v>0</v>
      </c>
      <c r="H39" s="309">
        <f t="shared" si="0"/>
        <v>0</v>
      </c>
      <c r="I39" s="68">
        <f>IFERROR(F39*'As-Filed Schedule 1'!$E$103,0)</f>
        <v>0</v>
      </c>
      <c r="J39" s="310">
        <f>IFERROR(H39*'Adjusted Schedule 1'!$E$104,0)</f>
        <v>0</v>
      </c>
      <c r="K39" s="68">
        <f t="shared" si="1"/>
        <v>0</v>
      </c>
      <c r="L39" s="310">
        <f t="shared" si="2"/>
        <v>0</v>
      </c>
      <c r="N39" s="117">
        <f>'As-Filed Schedule 2C'!J39</f>
        <v>0</v>
      </c>
      <c r="O39" s="313">
        <f>SUMIFS(Adjustments!$G:$G,Adjustments!$H:$H,"2C",Adjustments!$I:$I,'Schedule 2C Adjustments'!$N$12,Adjustments!$J:$J,'Schedule 2C Adjustments'!$A39)</f>
        <v>0</v>
      </c>
      <c r="P39" s="309">
        <f t="shared" si="3"/>
        <v>0</v>
      </c>
      <c r="Q39" s="68">
        <f>IFERROR(N39*'As-Filed Schedule 1'!$E$103,0)</f>
        <v>0</v>
      </c>
      <c r="R39" s="310">
        <f>IFERROR(P39*'Adjusted Schedule 1'!$E$104,0)</f>
        <v>0</v>
      </c>
      <c r="S39" s="68">
        <f t="shared" si="4"/>
        <v>0</v>
      </c>
      <c r="T39" s="310">
        <f t="shared" si="5"/>
        <v>0</v>
      </c>
      <c r="V39" s="120">
        <f>'As-Filed Schedule 2C'!N39</f>
        <v>0</v>
      </c>
      <c r="W39" s="313">
        <f>SUMIFS(Adjustments!$G:$G,Adjustments!$H:$H,"2C",Adjustments!$I:$I,'Schedule 2C Adjustments'!$V$12,Adjustments!$J:$J,'Schedule 2C Adjustments'!$A39)</f>
        <v>0</v>
      </c>
      <c r="X39" s="309">
        <f t="shared" si="6"/>
        <v>0</v>
      </c>
      <c r="Y39" s="120">
        <f>'As-Filed Schedule 2C'!O39</f>
        <v>0</v>
      </c>
      <c r="Z39" s="313">
        <f>SUMIFS(Adjustments!$G:$G,Adjustments!$H:$H,"2C",Adjustments!$I:$I,'Schedule 2C Adjustments'!$Y$12,Adjustments!$J:$J,'Schedule 2C Adjustments'!$A39)</f>
        <v>0</v>
      </c>
      <c r="AA39" s="309">
        <f t="shared" si="7"/>
        <v>0</v>
      </c>
    </row>
    <row r="40" spans="1:27" x14ac:dyDescent="0.35">
      <c r="A40" s="24">
        <v>26</v>
      </c>
      <c r="B40" s="507" t="str">
        <f>IF('As-Filed Schedule 2C'!B40:D40=0,"",'As-Filed Schedule 2C'!B40:D40)</f>
        <v/>
      </c>
      <c r="C40" s="507"/>
      <c r="D40" s="507"/>
      <c r="F40" s="117">
        <f>'As-Filed Schedule 2C'!F40</f>
        <v>0</v>
      </c>
      <c r="G40" s="313">
        <f>SUMIFS(Adjustments!$G:$G,Adjustments!$H:$H,"2C",Adjustments!$I:$I,'Schedule 2C Adjustments'!$F$12,Adjustments!$J:$J,'Schedule 2C Adjustments'!$A40)</f>
        <v>0</v>
      </c>
      <c r="H40" s="309">
        <f t="shared" si="0"/>
        <v>0</v>
      </c>
      <c r="I40" s="68">
        <f>IFERROR(F40*'As-Filed Schedule 1'!$E$103,0)</f>
        <v>0</v>
      </c>
      <c r="J40" s="310">
        <f>IFERROR(H40*'Adjusted Schedule 1'!$E$104,0)</f>
        <v>0</v>
      </c>
      <c r="K40" s="68">
        <f t="shared" si="1"/>
        <v>0</v>
      </c>
      <c r="L40" s="310">
        <f t="shared" si="2"/>
        <v>0</v>
      </c>
      <c r="N40" s="117">
        <f>'As-Filed Schedule 2C'!J40</f>
        <v>0</v>
      </c>
      <c r="O40" s="313">
        <f>SUMIFS(Adjustments!$G:$G,Adjustments!$H:$H,"2C",Adjustments!$I:$I,'Schedule 2C Adjustments'!$N$12,Adjustments!$J:$J,'Schedule 2C Adjustments'!$A40)</f>
        <v>0</v>
      </c>
      <c r="P40" s="309">
        <f t="shared" si="3"/>
        <v>0</v>
      </c>
      <c r="Q40" s="68">
        <f>IFERROR(N40*'As-Filed Schedule 1'!$E$103,0)</f>
        <v>0</v>
      </c>
      <c r="R40" s="310">
        <f>IFERROR(P40*'Adjusted Schedule 1'!$E$104,0)</f>
        <v>0</v>
      </c>
      <c r="S40" s="68">
        <f t="shared" si="4"/>
        <v>0</v>
      </c>
      <c r="T40" s="310">
        <f t="shared" si="5"/>
        <v>0</v>
      </c>
      <c r="V40" s="120">
        <f>'As-Filed Schedule 2C'!N40</f>
        <v>0</v>
      </c>
      <c r="W40" s="313">
        <f>SUMIFS(Adjustments!$G:$G,Adjustments!$H:$H,"2C",Adjustments!$I:$I,'Schedule 2C Adjustments'!$V$12,Adjustments!$J:$J,'Schedule 2C Adjustments'!$A40)</f>
        <v>0</v>
      </c>
      <c r="X40" s="309">
        <f t="shared" si="6"/>
        <v>0</v>
      </c>
      <c r="Y40" s="120">
        <f>'As-Filed Schedule 2C'!O40</f>
        <v>0</v>
      </c>
      <c r="Z40" s="313">
        <f>SUMIFS(Adjustments!$G:$G,Adjustments!$H:$H,"2C",Adjustments!$I:$I,'Schedule 2C Adjustments'!$Y$12,Adjustments!$J:$J,'Schedule 2C Adjustments'!$A40)</f>
        <v>0</v>
      </c>
      <c r="AA40" s="309">
        <f t="shared" si="7"/>
        <v>0</v>
      </c>
    </row>
    <row r="41" spans="1:27" x14ac:dyDescent="0.35">
      <c r="A41" s="24">
        <v>27</v>
      </c>
      <c r="B41" s="507" t="str">
        <f>IF('As-Filed Schedule 2C'!B41:D41=0,"",'As-Filed Schedule 2C'!B41:D41)</f>
        <v/>
      </c>
      <c r="C41" s="507"/>
      <c r="D41" s="507"/>
      <c r="F41" s="117">
        <f>'As-Filed Schedule 2C'!F41</f>
        <v>0</v>
      </c>
      <c r="G41" s="313">
        <f>SUMIFS(Adjustments!$G:$G,Adjustments!$H:$H,"2C",Adjustments!$I:$I,'Schedule 2C Adjustments'!$F$12,Adjustments!$J:$J,'Schedule 2C Adjustments'!$A41)</f>
        <v>0</v>
      </c>
      <c r="H41" s="309">
        <f t="shared" si="0"/>
        <v>0</v>
      </c>
      <c r="I41" s="68">
        <f>IFERROR(F41*'As-Filed Schedule 1'!$E$103,0)</f>
        <v>0</v>
      </c>
      <c r="J41" s="310">
        <f>IFERROR(H41*'Adjusted Schedule 1'!$E$104,0)</f>
        <v>0</v>
      </c>
      <c r="K41" s="68">
        <f t="shared" si="1"/>
        <v>0</v>
      </c>
      <c r="L41" s="310">
        <f t="shared" si="2"/>
        <v>0</v>
      </c>
      <c r="N41" s="117">
        <f>'As-Filed Schedule 2C'!J41</f>
        <v>0</v>
      </c>
      <c r="O41" s="313">
        <f>SUMIFS(Adjustments!$G:$G,Adjustments!$H:$H,"2C",Adjustments!$I:$I,'Schedule 2C Adjustments'!$N$12,Adjustments!$J:$J,'Schedule 2C Adjustments'!$A41)</f>
        <v>0</v>
      </c>
      <c r="P41" s="309">
        <f t="shared" si="3"/>
        <v>0</v>
      </c>
      <c r="Q41" s="68">
        <f>IFERROR(N41*'As-Filed Schedule 1'!$E$103,0)</f>
        <v>0</v>
      </c>
      <c r="R41" s="310">
        <f>IFERROR(P41*'Adjusted Schedule 1'!$E$104,0)</f>
        <v>0</v>
      </c>
      <c r="S41" s="68">
        <f t="shared" si="4"/>
        <v>0</v>
      </c>
      <c r="T41" s="310">
        <f t="shared" si="5"/>
        <v>0</v>
      </c>
      <c r="V41" s="120">
        <f>'As-Filed Schedule 2C'!N41</f>
        <v>0</v>
      </c>
      <c r="W41" s="313">
        <f>SUMIFS(Adjustments!$G:$G,Adjustments!$H:$H,"2C",Adjustments!$I:$I,'Schedule 2C Adjustments'!$V$12,Adjustments!$J:$J,'Schedule 2C Adjustments'!$A41)</f>
        <v>0</v>
      </c>
      <c r="X41" s="309">
        <f t="shared" si="6"/>
        <v>0</v>
      </c>
      <c r="Y41" s="120">
        <f>'As-Filed Schedule 2C'!O41</f>
        <v>0</v>
      </c>
      <c r="Z41" s="313">
        <f>SUMIFS(Adjustments!$G:$G,Adjustments!$H:$H,"2C",Adjustments!$I:$I,'Schedule 2C Adjustments'!$Y$12,Adjustments!$J:$J,'Schedule 2C Adjustments'!$A41)</f>
        <v>0</v>
      </c>
      <c r="AA41" s="309">
        <f t="shared" si="7"/>
        <v>0</v>
      </c>
    </row>
    <row r="42" spans="1:27" x14ac:dyDescent="0.35">
      <c r="A42" s="24">
        <v>28</v>
      </c>
      <c r="B42" s="507" t="str">
        <f>IF('As-Filed Schedule 2C'!B42:D42=0,"",'As-Filed Schedule 2C'!B42:D42)</f>
        <v/>
      </c>
      <c r="C42" s="507"/>
      <c r="D42" s="507"/>
      <c r="F42" s="117">
        <f>'As-Filed Schedule 2C'!F42</f>
        <v>0</v>
      </c>
      <c r="G42" s="313">
        <f>SUMIFS(Adjustments!$G:$G,Adjustments!$H:$H,"2C",Adjustments!$I:$I,'Schedule 2C Adjustments'!$F$12,Adjustments!$J:$J,'Schedule 2C Adjustments'!$A42)</f>
        <v>0</v>
      </c>
      <c r="H42" s="309">
        <f t="shared" si="0"/>
        <v>0</v>
      </c>
      <c r="I42" s="68">
        <f>IFERROR(F42*'As-Filed Schedule 1'!$E$103,0)</f>
        <v>0</v>
      </c>
      <c r="J42" s="310">
        <f>IFERROR(H42*'Adjusted Schedule 1'!$E$104,0)</f>
        <v>0</v>
      </c>
      <c r="K42" s="68">
        <f t="shared" si="1"/>
        <v>0</v>
      </c>
      <c r="L42" s="310">
        <f t="shared" si="2"/>
        <v>0</v>
      </c>
      <c r="N42" s="117">
        <f>'As-Filed Schedule 2C'!J42</f>
        <v>0</v>
      </c>
      <c r="O42" s="313">
        <f>SUMIFS(Adjustments!$G:$G,Adjustments!$H:$H,"2C",Adjustments!$I:$I,'Schedule 2C Adjustments'!$N$12,Adjustments!$J:$J,'Schedule 2C Adjustments'!$A42)</f>
        <v>0</v>
      </c>
      <c r="P42" s="309">
        <f t="shared" si="3"/>
        <v>0</v>
      </c>
      <c r="Q42" s="68">
        <f>IFERROR(N42*'As-Filed Schedule 1'!$E$103,0)</f>
        <v>0</v>
      </c>
      <c r="R42" s="310">
        <f>IFERROR(P42*'Adjusted Schedule 1'!$E$104,0)</f>
        <v>0</v>
      </c>
      <c r="S42" s="68">
        <f t="shared" si="4"/>
        <v>0</v>
      </c>
      <c r="T42" s="310">
        <f t="shared" si="5"/>
        <v>0</v>
      </c>
      <c r="V42" s="120">
        <f>'As-Filed Schedule 2C'!N42</f>
        <v>0</v>
      </c>
      <c r="W42" s="313">
        <f>SUMIFS(Adjustments!$G:$G,Adjustments!$H:$H,"2C",Adjustments!$I:$I,'Schedule 2C Adjustments'!$V$12,Adjustments!$J:$J,'Schedule 2C Adjustments'!$A42)</f>
        <v>0</v>
      </c>
      <c r="X42" s="309">
        <f t="shared" si="6"/>
        <v>0</v>
      </c>
      <c r="Y42" s="120">
        <f>'As-Filed Schedule 2C'!O42</f>
        <v>0</v>
      </c>
      <c r="Z42" s="313">
        <f>SUMIFS(Adjustments!$G:$G,Adjustments!$H:$H,"2C",Adjustments!$I:$I,'Schedule 2C Adjustments'!$Y$12,Adjustments!$J:$J,'Schedule 2C Adjustments'!$A42)</f>
        <v>0</v>
      </c>
      <c r="AA42" s="309">
        <f t="shared" si="7"/>
        <v>0</v>
      </c>
    </row>
    <row r="43" spans="1:27" x14ac:dyDescent="0.35">
      <c r="A43" s="24">
        <v>29</v>
      </c>
      <c r="B43" s="507" t="str">
        <f>IF('As-Filed Schedule 2C'!B43:D43=0,"",'As-Filed Schedule 2C'!B43:D43)</f>
        <v/>
      </c>
      <c r="C43" s="507"/>
      <c r="D43" s="507"/>
      <c r="F43" s="117">
        <f>'As-Filed Schedule 2C'!F43</f>
        <v>0</v>
      </c>
      <c r="G43" s="313">
        <f>SUMIFS(Adjustments!$G:$G,Adjustments!$H:$H,"2C",Adjustments!$I:$I,'Schedule 2C Adjustments'!$F$12,Adjustments!$J:$J,'Schedule 2C Adjustments'!$A43)</f>
        <v>0</v>
      </c>
      <c r="H43" s="309">
        <f t="shared" si="0"/>
        <v>0</v>
      </c>
      <c r="I43" s="68">
        <f>IFERROR(F43*'As-Filed Schedule 1'!$E$103,0)</f>
        <v>0</v>
      </c>
      <c r="J43" s="310">
        <f>IFERROR(H43*'Adjusted Schedule 1'!$E$104,0)</f>
        <v>0</v>
      </c>
      <c r="K43" s="68">
        <f t="shared" si="1"/>
        <v>0</v>
      </c>
      <c r="L43" s="310">
        <f t="shared" si="2"/>
        <v>0</v>
      </c>
      <c r="N43" s="117">
        <f>'As-Filed Schedule 2C'!J43</f>
        <v>0</v>
      </c>
      <c r="O43" s="313">
        <f>SUMIFS(Adjustments!$G:$G,Adjustments!$H:$H,"2C",Adjustments!$I:$I,'Schedule 2C Adjustments'!$N$12,Adjustments!$J:$J,'Schedule 2C Adjustments'!$A43)</f>
        <v>0</v>
      </c>
      <c r="P43" s="309">
        <f t="shared" si="3"/>
        <v>0</v>
      </c>
      <c r="Q43" s="68">
        <f>IFERROR(N43*'As-Filed Schedule 1'!$E$103,0)</f>
        <v>0</v>
      </c>
      <c r="R43" s="310">
        <f>IFERROR(P43*'Adjusted Schedule 1'!$E$104,0)</f>
        <v>0</v>
      </c>
      <c r="S43" s="68">
        <f t="shared" si="4"/>
        <v>0</v>
      </c>
      <c r="T43" s="310">
        <f t="shared" si="5"/>
        <v>0</v>
      </c>
      <c r="V43" s="120">
        <f>'As-Filed Schedule 2C'!N43</f>
        <v>0</v>
      </c>
      <c r="W43" s="313">
        <f>SUMIFS(Adjustments!$G:$G,Adjustments!$H:$H,"2C",Adjustments!$I:$I,'Schedule 2C Adjustments'!$V$12,Adjustments!$J:$J,'Schedule 2C Adjustments'!$A43)</f>
        <v>0</v>
      </c>
      <c r="X43" s="309">
        <f t="shared" si="6"/>
        <v>0</v>
      </c>
      <c r="Y43" s="120">
        <f>'As-Filed Schedule 2C'!O43</f>
        <v>0</v>
      </c>
      <c r="Z43" s="313">
        <f>SUMIFS(Adjustments!$G:$G,Adjustments!$H:$H,"2C",Adjustments!$I:$I,'Schedule 2C Adjustments'!$Y$12,Adjustments!$J:$J,'Schedule 2C Adjustments'!$A43)</f>
        <v>0</v>
      </c>
      <c r="AA43" s="309">
        <f t="shared" si="7"/>
        <v>0</v>
      </c>
    </row>
    <row r="44" spans="1:27" x14ac:dyDescent="0.35">
      <c r="A44" s="24">
        <v>30</v>
      </c>
      <c r="B44" s="507" t="str">
        <f>IF('As-Filed Schedule 2C'!B44:D44=0,"",'As-Filed Schedule 2C'!B44:D44)</f>
        <v/>
      </c>
      <c r="C44" s="507"/>
      <c r="D44" s="507"/>
      <c r="F44" s="117">
        <f>'As-Filed Schedule 2C'!F44</f>
        <v>0</v>
      </c>
      <c r="G44" s="313">
        <f>SUMIFS(Adjustments!$G:$G,Adjustments!$H:$H,"2C",Adjustments!$I:$I,'Schedule 2C Adjustments'!$F$12,Adjustments!$J:$J,'Schedule 2C Adjustments'!$A44)</f>
        <v>0</v>
      </c>
      <c r="H44" s="309">
        <f t="shared" si="0"/>
        <v>0</v>
      </c>
      <c r="I44" s="68">
        <f>IFERROR(F44*'As-Filed Schedule 1'!$E$103,0)</f>
        <v>0</v>
      </c>
      <c r="J44" s="310">
        <f>IFERROR(H44*'Adjusted Schedule 1'!$E$104,0)</f>
        <v>0</v>
      </c>
      <c r="K44" s="68">
        <f t="shared" si="1"/>
        <v>0</v>
      </c>
      <c r="L44" s="310">
        <f t="shared" si="2"/>
        <v>0</v>
      </c>
      <c r="N44" s="117">
        <f>'As-Filed Schedule 2C'!J44</f>
        <v>0</v>
      </c>
      <c r="O44" s="313">
        <f>SUMIFS(Adjustments!$G:$G,Adjustments!$H:$H,"2C",Adjustments!$I:$I,'Schedule 2C Adjustments'!$N$12,Adjustments!$J:$J,'Schedule 2C Adjustments'!$A44)</f>
        <v>0</v>
      </c>
      <c r="P44" s="309">
        <f t="shared" si="3"/>
        <v>0</v>
      </c>
      <c r="Q44" s="68">
        <f>IFERROR(N44*'As-Filed Schedule 1'!$E$103,0)</f>
        <v>0</v>
      </c>
      <c r="R44" s="310">
        <f>IFERROR(P44*'Adjusted Schedule 1'!$E$104,0)</f>
        <v>0</v>
      </c>
      <c r="S44" s="68">
        <f t="shared" si="4"/>
        <v>0</v>
      </c>
      <c r="T44" s="310">
        <f t="shared" si="5"/>
        <v>0</v>
      </c>
      <c r="V44" s="120">
        <f>'As-Filed Schedule 2C'!N44</f>
        <v>0</v>
      </c>
      <c r="W44" s="313">
        <f>SUMIFS(Adjustments!$G:$G,Adjustments!$H:$H,"2C",Adjustments!$I:$I,'Schedule 2C Adjustments'!$V$12,Adjustments!$J:$J,'Schedule 2C Adjustments'!$A44)</f>
        <v>0</v>
      </c>
      <c r="X44" s="309">
        <f t="shared" si="6"/>
        <v>0</v>
      </c>
      <c r="Y44" s="120">
        <f>'As-Filed Schedule 2C'!O44</f>
        <v>0</v>
      </c>
      <c r="Z44" s="313">
        <f>SUMIFS(Adjustments!$G:$G,Adjustments!$H:$H,"2C",Adjustments!$I:$I,'Schedule 2C Adjustments'!$Y$12,Adjustments!$J:$J,'Schedule 2C Adjustments'!$A44)</f>
        <v>0</v>
      </c>
      <c r="AA44" s="309">
        <f t="shared" si="7"/>
        <v>0</v>
      </c>
    </row>
    <row r="45" spans="1:27" x14ac:dyDescent="0.35">
      <c r="A45" s="24">
        <v>31</v>
      </c>
      <c r="B45" s="507" t="str">
        <f>IF('As-Filed Schedule 2C'!B45:D45=0,"",'As-Filed Schedule 2C'!B45:D45)</f>
        <v/>
      </c>
      <c r="C45" s="507"/>
      <c r="D45" s="507"/>
      <c r="F45" s="117">
        <f>'As-Filed Schedule 2C'!F45</f>
        <v>0</v>
      </c>
      <c r="G45" s="313">
        <f>SUMIFS(Adjustments!$G:$G,Adjustments!$H:$H,"2C",Adjustments!$I:$I,'Schedule 2C Adjustments'!$F$12,Adjustments!$J:$J,'Schedule 2C Adjustments'!$A45)</f>
        <v>0</v>
      </c>
      <c r="H45" s="309">
        <f t="shared" si="0"/>
        <v>0</v>
      </c>
      <c r="I45" s="68">
        <f>IFERROR(F45*'As-Filed Schedule 1'!$E$103,0)</f>
        <v>0</v>
      </c>
      <c r="J45" s="310">
        <f>IFERROR(H45*'Adjusted Schedule 1'!$E$104,0)</f>
        <v>0</v>
      </c>
      <c r="K45" s="68">
        <f t="shared" si="1"/>
        <v>0</v>
      </c>
      <c r="L45" s="310">
        <f t="shared" si="2"/>
        <v>0</v>
      </c>
      <c r="N45" s="117">
        <f>'As-Filed Schedule 2C'!J45</f>
        <v>0</v>
      </c>
      <c r="O45" s="313">
        <f>SUMIFS(Adjustments!$G:$G,Adjustments!$H:$H,"2C",Adjustments!$I:$I,'Schedule 2C Adjustments'!$N$12,Adjustments!$J:$J,'Schedule 2C Adjustments'!$A45)</f>
        <v>0</v>
      </c>
      <c r="P45" s="309">
        <f t="shared" si="3"/>
        <v>0</v>
      </c>
      <c r="Q45" s="68">
        <f>IFERROR(N45*'As-Filed Schedule 1'!$E$103,0)</f>
        <v>0</v>
      </c>
      <c r="R45" s="310">
        <f>IFERROR(P45*'Adjusted Schedule 1'!$E$104,0)</f>
        <v>0</v>
      </c>
      <c r="S45" s="68">
        <f t="shared" si="4"/>
        <v>0</v>
      </c>
      <c r="T45" s="310">
        <f t="shared" si="5"/>
        <v>0</v>
      </c>
      <c r="V45" s="120">
        <f>'As-Filed Schedule 2C'!N45</f>
        <v>0</v>
      </c>
      <c r="W45" s="313">
        <f>SUMIFS(Adjustments!$G:$G,Adjustments!$H:$H,"2C",Adjustments!$I:$I,'Schedule 2C Adjustments'!$V$12,Adjustments!$J:$J,'Schedule 2C Adjustments'!$A45)</f>
        <v>0</v>
      </c>
      <c r="X45" s="309">
        <f t="shared" si="6"/>
        <v>0</v>
      </c>
      <c r="Y45" s="120">
        <f>'As-Filed Schedule 2C'!O45</f>
        <v>0</v>
      </c>
      <c r="Z45" s="313">
        <f>SUMIFS(Adjustments!$G:$G,Adjustments!$H:$H,"2C",Adjustments!$I:$I,'Schedule 2C Adjustments'!$Y$12,Adjustments!$J:$J,'Schedule 2C Adjustments'!$A45)</f>
        <v>0</v>
      </c>
      <c r="AA45" s="309">
        <f t="shared" si="7"/>
        <v>0</v>
      </c>
    </row>
    <row r="46" spans="1:27" x14ac:dyDescent="0.35">
      <c r="A46" s="24">
        <v>32</v>
      </c>
      <c r="B46" s="507" t="str">
        <f>IF('As-Filed Schedule 2C'!B46:D46=0,"",'As-Filed Schedule 2C'!B46:D46)</f>
        <v/>
      </c>
      <c r="C46" s="507"/>
      <c r="D46" s="507"/>
      <c r="F46" s="117">
        <f>'As-Filed Schedule 2C'!F46</f>
        <v>0</v>
      </c>
      <c r="G46" s="313">
        <f>SUMIFS(Adjustments!$G:$G,Adjustments!$H:$H,"2C",Adjustments!$I:$I,'Schedule 2C Adjustments'!$F$12,Adjustments!$J:$J,'Schedule 2C Adjustments'!$A46)</f>
        <v>0</v>
      </c>
      <c r="H46" s="309">
        <f t="shared" si="0"/>
        <v>0</v>
      </c>
      <c r="I46" s="68">
        <f>IFERROR(F46*'As-Filed Schedule 1'!$E$103,0)</f>
        <v>0</v>
      </c>
      <c r="J46" s="310">
        <f>IFERROR(H46*'Adjusted Schedule 1'!$E$104,0)</f>
        <v>0</v>
      </c>
      <c r="K46" s="68">
        <f t="shared" si="1"/>
        <v>0</v>
      </c>
      <c r="L46" s="310">
        <f t="shared" si="2"/>
        <v>0</v>
      </c>
      <c r="N46" s="117">
        <f>'As-Filed Schedule 2C'!J46</f>
        <v>0</v>
      </c>
      <c r="O46" s="313">
        <f>SUMIFS(Adjustments!$G:$G,Adjustments!$H:$H,"2C",Adjustments!$I:$I,'Schedule 2C Adjustments'!$N$12,Adjustments!$J:$J,'Schedule 2C Adjustments'!$A46)</f>
        <v>0</v>
      </c>
      <c r="P46" s="309">
        <f t="shared" si="3"/>
        <v>0</v>
      </c>
      <c r="Q46" s="68">
        <f>IFERROR(N46*'As-Filed Schedule 1'!$E$103,0)</f>
        <v>0</v>
      </c>
      <c r="R46" s="310">
        <f>IFERROR(P46*'Adjusted Schedule 1'!$E$104,0)</f>
        <v>0</v>
      </c>
      <c r="S46" s="68">
        <f t="shared" si="4"/>
        <v>0</v>
      </c>
      <c r="T46" s="310">
        <f t="shared" si="5"/>
        <v>0</v>
      </c>
      <c r="V46" s="120">
        <f>'As-Filed Schedule 2C'!N46</f>
        <v>0</v>
      </c>
      <c r="W46" s="313">
        <f>SUMIFS(Adjustments!$G:$G,Adjustments!$H:$H,"2C",Adjustments!$I:$I,'Schedule 2C Adjustments'!$V$12,Adjustments!$J:$J,'Schedule 2C Adjustments'!$A46)</f>
        <v>0</v>
      </c>
      <c r="X46" s="309">
        <f t="shared" si="6"/>
        <v>0</v>
      </c>
      <c r="Y46" s="120">
        <f>'As-Filed Schedule 2C'!O46</f>
        <v>0</v>
      </c>
      <c r="Z46" s="313">
        <f>SUMIFS(Adjustments!$G:$G,Adjustments!$H:$H,"2C",Adjustments!$I:$I,'Schedule 2C Adjustments'!$Y$12,Adjustments!$J:$J,'Schedule 2C Adjustments'!$A46)</f>
        <v>0</v>
      </c>
      <c r="AA46" s="309">
        <f t="shared" si="7"/>
        <v>0</v>
      </c>
    </row>
    <row r="47" spans="1:27" x14ac:dyDescent="0.35">
      <c r="A47" s="24">
        <v>33</v>
      </c>
      <c r="B47" s="507" t="str">
        <f>IF('As-Filed Schedule 2C'!B47:D47=0,"",'As-Filed Schedule 2C'!B47:D47)</f>
        <v/>
      </c>
      <c r="C47" s="507"/>
      <c r="D47" s="507"/>
      <c r="F47" s="117">
        <f>'As-Filed Schedule 2C'!F47</f>
        <v>0</v>
      </c>
      <c r="G47" s="313">
        <f>SUMIFS(Adjustments!$G:$G,Adjustments!$H:$H,"2C",Adjustments!$I:$I,'Schedule 2C Adjustments'!$F$12,Adjustments!$J:$J,'Schedule 2C Adjustments'!$A47)</f>
        <v>0</v>
      </c>
      <c r="H47" s="309">
        <f t="shared" si="0"/>
        <v>0</v>
      </c>
      <c r="I47" s="68">
        <f>IFERROR(F47*'As-Filed Schedule 1'!$E$103,0)</f>
        <v>0</v>
      </c>
      <c r="J47" s="310">
        <f>IFERROR(H47*'Adjusted Schedule 1'!$E$104,0)</f>
        <v>0</v>
      </c>
      <c r="K47" s="68">
        <f t="shared" si="1"/>
        <v>0</v>
      </c>
      <c r="L47" s="310">
        <f t="shared" si="2"/>
        <v>0</v>
      </c>
      <c r="N47" s="117">
        <f>'As-Filed Schedule 2C'!J47</f>
        <v>0</v>
      </c>
      <c r="O47" s="313">
        <f>SUMIFS(Adjustments!$G:$G,Adjustments!$H:$H,"2C",Adjustments!$I:$I,'Schedule 2C Adjustments'!$N$12,Adjustments!$J:$J,'Schedule 2C Adjustments'!$A47)</f>
        <v>0</v>
      </c>
      <c r="P47" s="309">
        <f t="shared" si="3"/>
        <v>0</v>
      </c>
      <c r="Q47" s="68">
        <f>IFERROR(N47*'As-Filed Schedule 1'!$E$103,0)</f>
        <v>0</v>
      </c>
      <c r="R47" s="310">
        <f>IFERROR(P47*'Adjusted Schedule 1'!$E$104,0)</f>
        <v>0</v>
      </c>
      <c r="S47" s="68">
        <f t="shared" si="4"/>
        <v>0</v>
      </c>
      <c r="T47" s="310">
        <f t="shared" si="5"/>
        <v>0</v>
      </c>
      <c r="V47" s="120">
        <f>'As-Filed Schedule 2C'!N47</f>
        <v>0</v>
      </c>
      <c r="W47" s="313">
        <f>SUMIFS(Adjustments!$G:$G,Adjustments!$H:$H,"2C",Adjustments!$I:$I,'Schedule 2C Adjustments'!$V$12,Adjustments!$J:$J,'Schedule 2C Adjustments'!$A47)</f>
        <v>0</v>
      </c>
      <c r="X47" s="309">
        <f t="shared" si="6"/>
        <v>0</v>
      </c>
      <c r="Y47" s="120">
        <f>'As-Filed Schedule 2C'!O47</f>
        <v>0</v>
      </c>
      <c r="Z47" s="313">
        <f>SUMIFS(Adjustments!$G:$G,Adjustments!$H:$H,"2C",Adjustments!$I:$I,'Schedule 2C Adjustments'!$Y$12,Adjustments!$J:$J,'Schedule 2C Adjustments'!$A47)</f>
        <v>0</v>
      </c>
      <c r="AA47" s="309">
        <f t="shared" si="7"/>
        <v>0</v>
      </c>
    </row>
    <row r="48" spans="1:27" x14ac:dyDescent="0.35">
      <c r="A48" s="24">
        <v>34</v>
      </c>
      <c r="B48" s="507" t="str">
        <f>IF('As-Filed Schedule 2C'!B48:D48=0,"",'As-Filed Schedule 2C'!B48:D48)</f>
        <v/>
      </c>
      <c r="C48" s="507"/>
      <c r="D48" s="507"/>
      <c r="F48" s="117">
        <f>'As-Filed Schedule 2C'!F48</f>
        <v>0</v>
      </c>
      <c r="G48" s="313">
        <f>SUMIFS(Adjustments!$G:$G,Adjustments!$H:$H,"2C",Adjustments!$I:$I,'Schedule 2C Adjustments'!$F$12,Adjustments!$J:$J,'Schedule 2C Adjustments'!$A48)</f>
        <v>0</v>
      </c>
      <c r="H48" s="309">
        <f t="shared" si="0"/>
        <v>0</v>
      </c>
      <c r="I48" s="68">
        <f>IFERROR(F48*'As-Filed Schedule 1'!$E$103,0)</f>
        <v>0</v>
      </c>
      <c r="J48" s="310">
        <f>IFERROR(H48*'Adjusted Schedule 1'!$E$104,0)</f>
        <v>0</v>
      </c>
      <c r="K48" s="68">
        <f t="shared" si="1"/>
        <v>0</v>
      </c>
      <c r="L48" s="310">
        <f t="shared" si="2"/>
        <v>0</v>
      </c>
      <c r="N48" s="117">
        <f>'As-Filed Schedule 2C'!J48</f>
        <v>0</v>
      </c>
      <c r="O48" s="313">
        <f>SUMIFS(Adjustments!$G:$G,Adjustments!$H:$H,"2C",Adjustments!$I:$I,'Schedule 2C Adjustments'!$N$12,Adjustments!$J:$J,'Schedule 2C Adjustments'!$A48)</f>
        <v>0</v>
      </c>
      <c r="P48" s="309">
        <f t="shared" si="3"/>
        <v>0</v>
      </c>
      <c r="Q48" s="68">
        <f>IFERROR(N48*'As-Filed Schedule 1'!$E$103,0)</f>
        <v>0</v>
      </c>
      <c r="R48" s="310">
        <f>IFERROR(P48*'Adjusted Schedule 1'!$E$104,0)</f>
        <v>0</v>
      </c>
      <c r="S48" s="68">
        <f t="shared" si="4"/>
        <v>0</v>
      </c>
      <c r="T48" s="310">
        <f t="shared" si="5"/>
        <v>0</v>
      </c>
      <c r="V48" s="120">
        <f>'As-Filed Schedule 2C'!N48</f>
        <v>0</v>
      </c>
      <c r="W48" s="313">
        <f>SUMIFS(Adjustments!$G:$G,Adjustments!$H:$H,"2C",Adjustments!$I:$I,'Schedule 2C Adjustments'!$V$12,Adjustments!$J:$J,'Schedule 2C Adjustments'!$A48)</f>
        <v>0</v>
      </c>
      <c r="X48" s="309">
        <f t="shared" si="6"/>
        <v>0</v>
      </c>
      <c r="Y48" s="120">
        <f>'As-Filed Schedule 2C'!O48</f>
        <v>0</v>
      </c>
      <c r="Z48" s="313">
        <f>SUMIFS(Adjustments!$G:$G,Adjustments!$H:$H,"2C",Adjustments!$I:$I,'Schedule 2C Adjustments'!$Y$12,Adjustments!$J:$J,'Schedule 2C Adjustments'!$A48)</f>
        <v>0</v>
      </c>
      <c r="AA48" s="309">
        <f t="shared" si="7"/>
        <v>0</v>
      </c>
    </row>
    <row r="49" spans="1:27" x14ac:dyDescent="0.35">
      <c r="A49" s="24">
        <v>35</v>
      </c>
      <c r="B49" s="507" t="str">
        <f>IF('As-Filed Schedule 2C'!B49:D49=0,"",'As-Filed Schedule 2C'!B49:D49)</f>
        <v/>
      </c>
      <c r="C49" s="507"/>
      <c r="D49" s="507"/>
      <c r="F49" s="117">
        <f>'As-Filed Schedule 2C'!F49</f>
        <v>0</v>
      </c>
      <c r="G49" s="313">
        <f>SUMIFS(Adjustments!$G:$G,Adjustments!$H:$H,"2C",Adjustments!$I:$I,'Schedule 2C Adjustments'!$F$12,Adjustments!$J:$J,'Schedule 2C Adjustments'!$A49)</f>
        <v>0</v>
      </c>
      <c r="H49" s="309">
        <f t="shared" si="0"/>
        <v>0</v>
      </c>
      <c r="I49" s="68">
        <f>IFERROR(F49*'As-Filed Schedule 1'!$E$103,0)</f>
        <v>0</v>
      </c>
      <c r="J49" s="310">
        <f>IFERROR(H49*'Adjusted Schedule 1'!$E$104,0)</f>
        <v>0</v>
      </c>
      <c r="K49" s="68">
        <f t="shared" si="1"/>
        <v>0</v>
      </c>
      <c r="L49" s="310">
        <f t="shared" si="2"/>
        <v>0</v>
      </c>
      <c r="N49" s="117">
        <f>'As-Filed Schedule 2C'!J49</f>
        <v>0</v>
      </c>
      <c r="O49" s="313">
        <f>SUMIFS(Adjustments!$G:$G,Adjustments!$H:$H,"2C",Adjustments!$I:$I,'Schedule 2C Adjustments'!$N$12,Adjustments!$J:$J,'Schedule 2C Adjustments'!$A49)</f>
        <v>0</v>
      </c>
      <c r="P49" s="309">
        <f t="shared" si="3"/>
        <v>0</v>
      </c>
      <c r="Q49" s="68">
        <f>IFERROR(N49*'As-Filed Schedule 1'!$E$103,0)</f>
        <v>0</v>
      </c>
      <c r="R49" s="310">
        <f>IFERROR(P49*'Adjusted Schedule 1'!$E$104,0)</f>
        <v>0</v>
      </c>
      <c r="S49" s="68">
        <f t="shared" si="4"/>
        <v>0</v>
      </c>
      <c r="T49" s="310">
        <f t="shared" si="5"/>
        <v>0</v>
      </c>
      <c r="V49" s="120">
        <f>'As-Filed Schedule 2C'!N49</f>
        <v>0</v>
      </c>
      <c r="W49" s="313">
        <f>SUMIFS(Adjustments!$G:$G,Adjustments!$H:$H,"2C",Adjustments!$I:$I,'Schedule 2C Adjustments'!$V$12,Adjustments!$J:$J,'Schedule 2C Adjustments'!$A49)</f>
        <v>0</v>
      </c>
      <c r="X49" s="309">
        <f t="shared" si="6"/>
        <v>0</v>
      </c>
      <c r="Y49" s="120">
        <f>'As-Filed Schedule 2C'!O49</f>
        <v>0</v>
      </c>
      <c r="Z49" s="313">
        <f>SUMIFS(Adjustments!$G:$G,Adjustments!$H:$H,"2C",Adjustments!$I:$I,'Schedule 2C Adjustments'!$Y$12,Adjustments!$J:$J,'Schedule 2C Adjustments'!$A49)</f>
        <v>0</v>
      </c>
      <c r="AA49" s="309">
        <f t="shared" si="7"/>
        <v>0</v>
      </c>
    </row>
    <row r="50" spans="1:27" x14ac:dyDescent="0.35">
      <c r="A50" s="24">
        <v>36</v>
      </c>
      <c r="B50" s="507" t="str">
        <f>IF('As-Filed Schedule 2C'!B50:D50=0,"",'As-Filed Schedule 2C'!B50:D50)</f>
        <v/>
      </c>
      <c r="C50" s="507"/>
      <c r="D50" s="507"/>
      <c r="F50" s="117">
        <f>'As-Filed Schedule 2C'!F50</f>
        <v>0</v>
      </c>
      <c r="G50" s="313">
        <f>SUMIFS(Adjustments!$G:$G,Adjustments!$H:$H,"2C",Adjustments!$I:$I,'Schedule 2C Adjustments'!$F$12,Adjustments!$J:$J,'Schedule 2C Adjustments'!$A50)</f>
        <v>0</v>
      </c>
      <c r="H50" s="309">
        <f t="shared" si="0"/>
        <v>0</v>
      </c>
      <c r="I50" s="68">
        <f>IFERROR(F50*'As-Filed Schedule 1'!$E$103,0)</f>
        <v>0</v>
      </c>
      <c r="J50" s="310">
        <f>IFERROR(H50*'Adjusted Schedule 1'!$E$104,0)</f>
        <v>0</v>
      </c>
      <c r="K50" s="68">
        <f t="shared" si="1"/>
        <v>0</v>
      </c>
      <c r="L50" s="310">
        <f t="shared" si="2"/>
        <v>0</v>
      </c>
      <c r="N50" s="117">
        <f>'As-Filed Schedule 2C'!J50</f>
        <v>0</v>
      </c>
      <c r="O50" s="313">
        <f>SUMIFS(Adjustments!$G:$G,Adjustments!$H:$H,"2C",Adjustments!$I:$I,'Schedule 2C Adjustments'!$N$12,Adjustments!$J:$J,'Schedule 2C Adjustments'!$A50)</f>
        <v>0</v>
      </c>
      <c r="P50" s="309">
        <f t="shared" si="3"/>
        <v>0</v>
      </c>
      <c r="Q50" s="68">
        <f>IFERROR(N50*'As-Filed Schedule 1'!$E$103,0)</f>
        <v>0</v>
      </c>
      <c r="R50" s="310">
        <f>IFERROR(P50*'Adjusted Schedule 1'!$E$104,0)</f>
        <v>0</v>
      </c>
      <c r="S50" s="68">
        <f t="shared" si="4"/>
        <v>0</v>
      </c>
      <c r="T50" s="310">
        <f t="shared" si="5"/>
        <v>0</v>
      </c>
      <c r="V50" s="120">
        <f>'As-Filed Schedule 2C'!N50</f>
        <v>0</v>
      </c>
      <c r="W50" s="313">
        <f>SUMIFS(Adjustments!$G:$G,Adjustments!$H:$H,"2C",Adjustments!$I:$I,'Schedule 2C Adjustments'!$V$12,Adjustments!$J:$J,'Schedule 2C Adjustments'!$A50)</f>
        <v>0</v>
      </c>
      <c r="X50" s="309">
        <f t="shared" si="6"/>
        <v>0</v>
      </c>
      <c r="Y50" s="120">
        <f>'As-Filed Schedule 2C'!O50</f>
        <v>0</v>
      </c>
      <c r="Z50" s="313">
        <f>SUMIFS(Adjustments!$G:$G,Adjustments!$H:$H,"2C",Adjustments!$I:$I,'Schedule 2C Adjustments'!$Y$12,Adjustments!$J:$J,'Schedule 2C Adjustments'!$A50)</f>
        <v>0</v>
      </c>
      <c r="AA50" s="309">
        <f t="shared" si="7"/>
        <v>0</v>
      </c>
    </row>
    <row r="51" spans="1:27" x14ac:dyDescent="0.35">
      <c r="A51" s="24">
        <v>37</v>
      </c>
      <c r="B51" s="507" t="str">
        <f>IF('As-Filed Schedule 2C'!B51:D51=0,"",'As-Filed Schedule 2C'!B51:D51)</f>
        <v/>
      </c>
      <c r="C51" s="507"/>
      <c r="D51" s="507"/>
      <c r="F51" s="117">
        <f>'As-Filed Schedule 2C'!F51</f>
        <v>0</v>
      </c>
      <c r="G51" s="313">
        <f>SUMIFS(Adjustments!$G:$G,Adjustments!$H:$H,"2C",Adjustments!$I:$I,'Schedule 2C Adjustments'!$F$12,Adjustments!$J:$J,'Schedule 2C Adjustments'!$A51)</f>
        <v>0</v>
      </c>
      <c r="H51" s="309">
        <f t="shared" si="0"/>
        <v>0</v>
      </c>
      <c r="I51" s="68">
        <f>IFERROR(F51*'As-Filed Schedule 1'!$E$103,0)</f>
        <v>0</v>
      </c>
      <c r="J51" s="310">
        <f>IFERROR(H51*'Adjusted Schedule 1'!$E$104,0)</f>
        <v>0</v>
      </c>
      <c r="K51" s="68">
        <f t="shared" si="1"/>
        <v>0</v>
      </c>
      <c r="L51" s="310">
        <f t="shared" si="2"/>
        <v>0</v>
      </c>
      <c r="N51" s="117">
        <f>'As-Filed Schedule 2C'!J51</f>
        <v>0</v>
      </c>
      <c r="O51" s="313">
        <f>SUMIFS(Adjustments!$G:$G,Adjustments!$H:$H,"2C",Adjustments!$I:$I,'Schedule 2C Adjustments'!$N$12,Adjustments!$J:$J,'Schedule 2C Adjustments'!$A51)</f>
        <v>0</v>
      </c>
      <c r="P51" s="309">
        <f t="shared" si="3"/>
        <v>0</v>
      </c>
      <c r="Q51" s="68">
        <f>IFERROR(N51*'As-Filed Schedule 1'!$E$103,0)</f>
        <v>0</v>
      </c>
      <c r="R51" s="310">
        <f>IFERROR(P51*'Adjusted Schedule 1'!$E$104,0)</f>
        <v>0</v>
      </c>
      <c r="S51" s="68">
        <f t="shared" si="4"/>
        <v>0</v>
      </c>
      <c r="T51" s="310">
        <f t="shared" si="5"/>
        <v>0</v>
      </c>
      <c r="V51" s="120">
        <f>'As-Filed Schedule 2C'!N51</f>
        <v>0</v>
      </c>
      <c r="W51" s="313">
        <f>SUMIFS(Adjustments!$G:$G,Adjustments!$H:$H,"2C",Adjustments!$I:$I,'Schedule 2C Adjustments'!$V$12,Adjustments!$J:$J,'Schedule 2C Adjustments'!$A51)</f>
        <v>0</v>
      </c>
      <c r="X51" s="309">
        <f t="shared" si="6"/>
        <v>0</v>
      </c>
      <c r="Y51" s="120">
        <f>'As-Filed Schedule 2C'!O51</f>
        <v>0</v>
      </c>
      <c r="Z51" s="313">
        <f>SUMIFS(Adjustments!$G:$G,Adjustments!$H:$H,"2C",Adjustments!$I:$I,'Schedule 2C Adjustments'!$Y$12,Adjustments!$J:$J,'Schedule 2C Adjustments'!$A51)</f>
        <v>0</v>
      </c>
      <c r="AA51" s="309">
        <f t="shared" si="7"/>
        <v>0</v>
      </c>
    </row>
    <row r="52" spans="1:27" x14ac:dyDescent="0.35">
      <c r="A52" s="24">
        <v>38</v>
      </c>
      <c r="B52" s="507" t="str">
        <f>IF('As-Filed Schedule 2C'!B52:D52=0,"",'As-Filed Schedule 2C'!B52:D52)</f>
        <v/>
      </c>
      <c r="C52" s="507"/>
      <c r="D52" s="507"/>
      <c r="F52" s="117">
        <f>'As-Filed Schedule 2C'!F52</f>
        <v>0</v>
      </c>
      <c r="G52" s="313">
        <f>SUMIFS(Adjustments!$G:$G,Adjustments!$H:$H,"2C",Adjustments!$I:$I,'Schedule 2C Adjustments'!$F$12,Adjustments!$J:$J,'Schedule 2C Adjustments'!$A52)</f>
        <v>0</v>
      </c>
      <c r="H52" s="309">
        <f t="shared" si="0"/>
        <v>0</v>
      </c>
      <c r="I52" s="68">
        <f>IFERROR(F52*'As-Filed Schedule 1'!$E$103,0)</f>
        <v>0</v>
      </c>
      <c r="J52" s="310">
        <f>IFERROR(H52*'Adjusted Schedule 1'!$E$104,0)</f>
        <v>0</v>
      </c>
      <c r="K52" s="68">
        <f t="shared" si="1"/>
        <v>0</v>
      </c>
      <c r="L52" s="310">
        <f t="shared" si="2"/>
        <v>0</v>
      </c>
      <c r="N52" s="117">
        <f>'As-Filed Schedule 2C'!J52</f>
        <v>0</v>
      </c>
      <c r="O52" s="313">
        <f>SUMIFS(Adjustments!$G:$G,Adjustments!$H:$H,"2C",Adjustments!$I:$I,'Schedule 2C Adjustments'!$N$12,Adjustments!$J:$J,'Schedule 2C Adjustments'!$A52)</f>
        <v>0</v>
      </c>
      <c r="P52" s="309">
        <f t="shared" si="3"/>
        <v>0</v>
      </c>
      <c r="Q52" s="68">
        <f>IFERROR(N52*'As-Filed Schedule 1'!$E$103,0)</f>
        <v>0</v>
      </c>
      <c r="R52" s="310">
        <f>IFERROR(P52*'Adjusted Schedule 1'!$E$104,0)</f>
        <v>0</v>
      </c>
      <c r="S52" s="68">
        <f t="shared" si="4"/>
        <v>0</v>
      </c>
      <c r="T52" s="310">
        <f t="shared" si="5"/>
        <v>0</v>
      </c>
      <c r="V52" s="120">
        <f>'As-Filed Schedule 2C'!N52</f>
        <v>0</v>
      </c>
      <c r="W52" s="313">
        <f>SUMIFS(Adjustments!$G:$G,Adjustments!$H:$H,"2C",Adjustments!$I:$I,'Schedule 2C Adjustments'!$V$12,Adjustments!$J:$J,'Schedule 2C Adjustments'!$A52)</f>
        <v>0</v>
      </c>
      <c r="X52" s="309">
        <f t="shared" si="6"/>
        <v>0</v>
      </c>
      <c r="Y52" s="120">
        <f>'As-Filed Schedule 2C'!O52</f>
        <v>0</v>
      </c>
      <c r="Z52" s="313">
        <f>SUMIFS(Adjustments!$G:$G,Adjustments!$H:$H,"2C",Adjustments!$I:$I,'Schedule 2C Adjustments'!$Y$12,Adjustments!$J:$J,'Schedule 2C Adjustments'!$A52)</f>
        <v>0</v>
      </c>
      <c r="AA52" s="309">
        <f t="shared" si="7"/>
        <v>0</v>
      </c>
    </row>
    <row r="53" spans="1:27" x14ac:dyDescent="0.35">
      <c r="A53" s="24">
        <v>39</v>
      </c>
      <c r="B53" s="507" t="str">
        <f>IF('As-Filed Schedule 2C'!B53:D53=0,"",'As-Filed Schedule 2C'!B53:D53)</f>
        <v/>
      </c>
      <c r="C53" s="507"/>
      <c r="D53" s="507"/>
      <c r="F53" s="117">
        <f>'As-Filed Schedule 2C'!F53</f>
        <v>0</v>
      </c>
      <c r="G53" s="313">
        <f>SUMIFS(Adjustments!$G:$G,Adjustments!$H:$H,"2C",Adjustments!$I:$I,'Schedule 2C Adjustments'!$F$12,Adjustments!$J:$J,'Schedule 2C Adjustments'!$A53)</f>
        <v>0</v>
      </c>
      <c r="H53" s="309">
        <f t="shared" si="0"/>
        <v>0</v>
      </c>
      <c r="I53" s="68">
        <f>IFERROR(F53*'As-Filed Schedule 1'!$E$103,0)</f>
        <v>0</v>
      </c>
      <c r="J53" s="310">
        <f>IFERROR(H53*'Adjusted Schedule 1'!$E$104,0)</f>
        <v>0</v>
      </c>
      <c r="K53" s="68">
        <f t="shared" si="1"/>
        <v>0</v>
      </c>
      <c r="L53" s="310">
        <f t="shared" si="2"/>
        <v>0</v>
      </c>
      <c r="N53" s="117">
        <f>'As-Filed Schedule 2C'!J53</f>
        <v>0</v>
      </c>
      <c r="O53" s="313">
        <f>SUMIFS(Adjustments!$G:$G,Adjustments!$H:$H,"2C",Adjustments!$I:$I,'Schedule 2C Adjustments'!$N$12,Adjustments!$J:$J,'Schedule 2C Adjustments'!$A53)</f>
        <v>0</v>
      </c>
      <c r="P53" s="309">
        <f t="shared" si="3"/>
        <v>0</v>
      </c>
      <c r="Q53" s="68">
        <f>IFERROR(N53*'As-Filed Schedule 1'!$E$103,0)</f>
        <v>0</v>
      </c>
      <c r="R53" s="310">
        <f>IFERROR(P53*'Adjusted Schedule 1'!$E$104,0)</f>
        <v>0</v>
      </c>
      <c r="S53" s="68">
        <f t="shared" si="4"/>
        <v>0</v>
      </c>
      <c r="T53" s="310">
        <f t="shared" si="5"/>
        <v>0</v>
      </c>
      <c r="V53" s="120">
        <f>'As-Filed Schedule 2C'!N53</f>
        <v>0</v>
      </c>
      <c r="W53" s="313">
        <f>SUMIFS(Adjustments!$G:$G,Adjustments!$H:$H,"2C",Adjustments!$I:$I,'Schedule 2C Adjustments'!$V$12,Adjustments!$J:$J,'Schedule 2C Adjustments'!$A53)</f>
        <v>0</v>
      </c>
      <c r="X53" s="309">
        <f t="shared" si="6"/>
        <v>0</v>
      </c>
      <c r="Y53" s="120">
        <f>'As-Filed Schedule 2C'!O53</f>
        <v>0</v>
      </c>
      <c r="Z53" s="313">
        <f>SUMIFS(Adjustments!$G:$G,Adjustments!$H:$H,"2C",Adjustments!$I:$I,'Schedule 2C Adjustments'!$Y$12,Adjustments!$J:$J,'Schedule 2C Adjustments'!$A53)</f>
        <v>0</v>
      </c>
      <c r="AA53" s="309">
        <f t="shared" si="7"/>
        <v>0</v>
      </c>
    </row>
    <row r="54" spans="1:27" x14ac:dyDescent="0.35">
      <c r="A54" s="24">
        <v>40</v>
      </c>
      <c r="B54" s="507" t="str">
        <f>IF('As-Filed Schedule 2C'!B54:D54=0,"",'As-Filed Schedule 2C'!B54:D54)</f>
        <v/>
      </c>
      <c r="C54" s="507"/>
      <c r="D54" s="507"/>
      <c r="F54" s="117">
        <f>'As-Filed Schedule 2C'!F54</f>
        <v>0</v>
      </c>
      <c r="G54" s="313">
        <f>SUMIFS(Adjustments!$G:$G,Adjustments!$H:$H,"2C",Adjustments!$I:$I,'Schedule 2C Adjustments'!$F$12,Adjustments!$J:$J,'Schedule 2C Adjustments'!$A54)</f>
        <v>0</v>
      </c>
      <c r="H54" s="309">
        <f t="shared" si="0"/>
        <v>0</v>
      </c>
      <c r="I54" s="68">
        <f>IFERROR(F54*'As-Filed Schedule 1'!$E$103,0)</f>
        <v>0</v>
      </c>
      <c r="J54" s="310">
        <f>IFERROR(H54*'Adjusted Schedule 1'!$E$104,0)</f>
        <v>0</v>
      </c>
      <c r="K54" s="68">
        <f t="shared" si="1"/>
        <v>0</v>
      </c>
      <c r="L54" s="310">
        <f t="shared" si="2"/>
        <v>0</v>
      </c>
      <c r="N54" s="117">
        <f>'As-Filed Schedule 2C'!J54</f>
        <v>0</v>
      </c>
      <c r="O54" s="313">
        <f>SUMIFS(Adjustments!$G:$G,Adjustments!$H:$H,"2C",Adjustments!$I:$I,'Schedule 2C Adjustments'!$N$12,Adjustments!$J:$J,'Schedule 2C Adjustments'!$A54)</f>
        <v>0</v>
      </c>
      <c r="P54" s="309">
        <f t="shared" si="3"/>
        <v>0</v>
      </c>
      <c r="Q54" s="68">
        <f>IFERROR(N54*'As-Filed Schedule 1'!$E$103,0)</f>
        <v>0</v>
      </c>
      <c r="R54" s="310">
        <f>IFERROR(P54*'Adjusted Schedule 1'!$E$104,0)</f>
        <v>0</v>
      </c>
      <c r="S54" s="68">
        <f t="shared" si="4"/>
        <v>0</v>
      </c>
      <c r="T54" s="310">
        <f t="shared" si="5"/>
        <v>0</v>
      </c>
      <c r="V54" s="120">
        <f>'As-Filed Schedule 2C'!N54</f>
        <v>0</v>
      </c>
      <c r="W54" s="313">
        <f>SUMIFS(Adjustments!$G:$G,Adjustments!$H:$H,"2C",Adjustments!$I:$I,'Schedule 2C Adjustments'!$V$12,Adjustments!$J:$J,'Schedule 2C Adjustments'!$A54)</f>
        <v>0</v>
      </c>
      <c r="X54" s="309">
        <f t="shared" si="6"/>
        <v>0</v>
      </c>
      <c r="Y54" s="120">
        <f>'As-Filed Schedule 2C'!O54</f>
        <v>0</v>
      </c>
      <c r="Z54" s="313">
        <f>SUMIFS(Adjustments!$G:$G,Adjustments!$H:$H,"2C",Adjustments!$I:$I,'Schedule 2C Adjustments'!$Y$12,Adjustments!$J:$J,'Schedule 2C Adjustments'!$A54)</f>
        <v>0</v>
      </c>
      <c r="AA54" s="309">
        <f t="shared" si="7"/>
        <v>0</v>
      </c>
    </row>
    <row r="55" spans="1:27" x14ac:dyDescent="0.35">
      <c r="A55" s="24">
        <v>41</v>
      </c>
      <c r="B55" s="507" t="str">
        <f>IF('As-Filed Schedule 2C'!B55:D55=0,"",'As-Filed Schedule 2C'!B55:D55)</f>
        <v/>
      </c>
      <c r="C55" s="507"/>
      <c r="D55" s="507"/>
      <c r="F55" s="117">
        <f>'As-Filed Schedule 2C'!F55</f>
        <v>0</v>
      </c>
      <c r="G55" s="313">
        <f>SUMIFS(Adjustments!$G:$G,Adjustments!$H:$H,"2C",Adjustments!$I:$I,'Schedule 2C Adjustments'!$F$12,Adjustments!$J:$J,'Schedule 2C Adjustments'!$A55)</f>
        <v>0</v>
      </c>
      <c r="H55" s="309">
        <f t="shared" si="0"/>
        <v>0</v>
      </c>
      <c r="I55" s="68">
        <f>IFERROR(F55*'As-Filed Schedule 1'!$E$103,0)</f>
        <v>0</v>
      </c>
      <c r="J55" s="310">
        <f>IFERROR(H55*'Adjusted Schedule 1'!$E$104,0)</f>
        <v>0</v>
      </c>
      <c r="K55" s="68">
        <f t="shared" si="1"/>
        <v>0</v>
      </c>
      <c r="L55" s="310">
        <f t="shared" si="2"/>
        <v>0</v>
      </c>
      <c r="N55" s="117">
        <f>'As-Filed Schedule 2C'!J55</f>
        <v>0</v>
      </c>
      <c r="O55" s="313">
        <f>SUMIFS(Adjustments!$G:$G,Adjustments!$H:$H,"2C",Adjustments!$I:$I,'Schedule 2C Adjustments'!$N$12,Adjustments!$J:$J,'Schedule 2C Adjustments'!$A55)</f>
        <v>0</v>
      </c>
      <c r="P55" s="309">
        <f t="shared" si="3"/>
        <v>0</v>
      </c>
      <c r="Q55" s="68">
        <f>IFERROR(N55*'As-Filed Schedule 1'!$E$103,0)</f>
        <v>0</v>
      </c>
      <c r="R55" s="310">
        <f>IFERROR(P55*'Adjusted Schedule 1'!$E$104,0)</f>
        <v>0</v>
      </c>
      <c r="S55" s="68">
        <f t="shared" si="4"/>
        <v>0</v>
      </c>
      <c r="T55" s="310">
        <f t="shared" si="5"/>
        <v>0</v>
      </c>
      <c r="V55" s="120">
        <f>'As-Filed Schedule 2C'!N55</f>
        <v>0</v>
      </c>
      <c r="W55" s="313">
        <f>SUMIFS(Adjustments!$G:$G,Adjustments!$H:$H,"2C",Adjustments!$I:$I,'Schedule 2C Adjustments'!$V$12,Adjustments!$J:$J,'Schedule 2C Adjustments'!$A55)</f>
        <v>0</v>
      </c>
      <c r="X55" s="309">
        <f t="shared" si="6"/>
        <v>0</v>
      </c>
      <c r="Y55" s="120">
        <f>'As-Filed Schedule 2C'!O55</f>
        <v>0</v>
      </c>
      <c r="Z55" s="313">
        <f>SUMIFS(Adjustments!$G:$G,Adjustments!$H:$H,"2C",Adjustments!$I:$I,'Schedule 2C Adjustments'!$Y$12,Adjustments!$J:$J,'Schedule 2C Adjustments'!$A55)</f>
        <v>0</v>
      </c>
      <c r="AA55" s="309">
        <f t="shared" si="7"/>
        <v>0</v>
      </c>
    </row>
    <row r="56" spans="1:27" x14ac:dyDescent="0.35">
      <c r="A56" s="24">
        <v>42</v>
      </c>
      <c r="B56" s="507" t="str">
        <f>IF('As-Filed Schedule 2C'!B56:D56=0,"",'As-Filed Schedule 2C'!B56:D56)</f>
        <v/>
      </c>
      <c r="C56" s="507"/>
      <c r="D56" s="507"/>
      <c r="F56" s="117">
        <f>'As-Filed Schedule 2C'!F56</f>
        <v>0</v>
      </c>
      <c r="G56" s="313">
        <f>SUMIFS(Adjustments!$G:$G,Adjustments!$H:$H,"2C",Adjustments!$I:$I,'Schedule 2C Adjustments'!$F$12,Adjustments!$J:$J,'Schedule 2C Adjustments'!$A56)</f>
        <v>0</v>
      </c>
      <c r="H56" s="309">
        <f t="shared" si="0"/>
        <v>0</v>
      </c>
      <c r="I56" s="68">
        <f>IFERROR(F56*'As-Filed Schedule 1'!$E$103,0)</f>
        <v>0</v>
      </c>
      <c r="J56" s="310">
        <f>IFERROR(H56*'Adjusted Schedule 1'!$E$104,0)</f>
        <v>0</v>
      </c>
      <c r="K56" s="68">
        <f t="shared" si="1"/>
        <v>0</v>
      </c>
      <c r="L56" s="310">
        <f t="shared" si="2"/>
        <v>0</v>
      </c>
      <c r="N56" s="117">
        <f>'As-Filed Schedule 2C'!J56</f>
        <v>0</v>
      </c>
      <c r="O56" s="313">
        <f>SUMIFS(Adjustments!$G:$G,Adjustments!$H:$H,"2C",Adjustments!$I:$I,'Schedule 2C Adjustments'!$N$12,Adjustments!$J:$J,'Schedule 2C Adjustments'!$A56)</f>
        <v>0</v>
      </c>
      <c r="P56" s="309">
        <f t="shared" si="3"/>
        <v>0</v>
      </c>
      <c r="Q56" s="68">
        <f>IFERROR(N56*'As-Filed Schedule 1'!$E$103,0)</f>
        <v>0</v>
      </c>
      <c r="R56" s="310">
        <f>IFERROR(P56*'Adjusted Schedule 1'!$E$104,0)</f>
        <v>0</v>
      </c>
      <c r="S56" s="68">
        <f t="shared" si="4"/>
        <v>0</v>
      </c>
      <c r="T56" s="310">
        <f t="shared" si="5"/>
        <v>0</v>
      </c>
      <c r="V56" s="120">
        <f>'As-Filed Schedule 2C'!N56</f>
        <v>0</v>
      </c>
      <c r="W56" s="313">
        <f>SUMIFS(Adjustments!$G:$G,Adjustments!$H:$H,"2C",Adjustments!$I:$I,'Schedule 2C Adjustments'!$V$12,Adjustments!$J:$J,'Schedule 2C Adjustments'!$A56)</f>
        <v>0</v>
      </c>
      <c r="X56" s="309">
        <f t="shared" si="6"/>
        <v>0</v>
      </c>
      <c r="Y56" s="120">
        <f>'As-Filed Schedule 2C'!O56</f>
        <v>0</v>
      </c>
      <c r="Z56" s="313">
        <f>SUMIFS(Adjustments!$G:$G,Adjustments!$H:$H,"2C",Adjustments!$I:$I,'Schedule 2C Adjustments'!$Y$12,Adjustments!$J:$J,'Schedule 2C Adjustments'!$A56)</f>
        <v>0</v>
      </c>
      <c r="AA56" s="309">
        <f t="shared" si="7"/>
        <v>0</v>
      </c>
    </row>
    <row r="57" spans="1:27" x14ac:dyDescent="0.35">
      <c r="A57" s="24">
        <v>43</v>
      </c>
      <c r="B57" s="507" t="str">
        <f>IF('As-Filed Schedule 2C'!B57:D57=0,"",'As-Filed Schedule 2C'!B57:D57)</f>
        <v/>
      </c>
      <c r="C57" s="507"/>
      <c r="D57" s="507"/>
      <c r="F57" s="117">
        <f>'As-Filed Schedule 2C'!F57</f>
        <v>0</v>
      </c>
      <c r="G57" s="313">
        <f>SUMIFS(Adjustments!$G:$G,Adjustments!$H:$H,"2C",Adjustments!$I:$I,'Schedule 2C Adjustments'!$F$12,Adjustments!$J:$J,'Schedule 2C Adjustments'!$A57)</f>
        <v>0</v>
      </c>
      <c r="H57" s="309">
        <f t="shared" si="0"/>
        <v>0</v>
      </c>
      <c r="I57" s="68">
        <f>IFERROR(F57*'As-Filed Schedule 1'!$E$103,0)</f>
        <v>0</v>
      </c>
      <c r="J57" s="310">
        <f>IFERROR(H57*'Adjusted Schedule 1'!$E$104,0)</f>
        <v>0</v>
      </c>
      <c r="K57" s="68">
        <f t="shared" si="1"/>
        <v>0</v>
      </c>
      <c r="L57" s="310">
        <f t="shared" si="2"/>
        <v>0</v>
      </c>
      <c r="N57" s="117">
        <f>'As-Filed Schedule 2C'!J57</f>
        <v>0</v>
      </c>
      <c r="O57" s="313">
        <f>SUMIFS(Adjustments!$G:$G,Adjustments!$H:$H,"2C",Adjustments!$I:$I,'Schedule 2C Adjustments'!$N$12,Adjustments!$J:$J,'Schedule 2C Adjustments'!$A57)</f>
        <v>0</v>
      </c>
      <c r="P57" s="309">
        <f t="shared" si="3"/>
        <v>0</v>
      </c>
      <c r="Q57" s="68">
        <f>IFERROR(N57*'As-Filed Schedule 1'!$E$103,0)</f>
        <v>0</v>
      </c>
      <c r="R57" s="310">
        <f>IFERROR(P57*'Adjusted Schedule 1'!$E$104,0)</f>
        <v>0</v>
      </c>
      <c r="S57" s="68">
        <f t="shared" si="4"/>
        <v>0</v>
      </c>
      <c r="T57" s="310">
        <f t="shared" si="5"/>
        <v>0</v>
      </c>
      <c r="V57" s="120">
        <f>'As-Filed Schedule 2C'!N57</f>
        <v>0</v>
      </c>
      <c r="W57" s="313">
        <f>SUMIFS(Adjustments!$G:$G,Adjustments!$H:$H,"2C",Adjustments!$I:$I,'Schedule 2C Adjustments'!$V$12,Adjustments!$J:$J,'Schedule 2C Adjustments'!$A57)</f>
        <v>0</v>
      </c>
      <c r="X57" s="309">
        <f t="shared" si="6"/>
        <v>0</v>
      </c>
      <c r="Y57" s="120">
        <f>'As-Filed Schedule 2C'!O57</f>
        <v>0</v>
      </c>
      <c r="Z57" s="313">
        <f>SUMIFS(Adjustments!$G:$G,Adjustments!$H:$H,"2C",Adjustments!$I:$I,'Schedule 2C Adjustments'!$Y$12,Adjustments!$J:$J,'Schedule 2C Adjustments'!$A57)</f>
        <v>0</v>
      </c>
      <c r="AA57" s="309">
        <f t="shared" si="7"/>
        <v>0</v>
      </c>
    </row>
    <row r="58" spans="1:27" x14ac:dyDescent="0.35">
      <c r="A58" s="24">
        <v>44</v>
      </c>
      <c r="B58" s="507" t="str">
        <f>IF('As-Filed Schedule 2C'!B58:D58=0,"",'As-Filed Schedule 2C'!B58:D58)</f>
        <v/>
      </c>
      <c r="C58" s="507"/>
      <c r="D58" s="507"/>
      <c r="F58" s="117">
        <f>'As-Filed Schedule 2C'!F58</f>
        <v>0</v>
      </c>
      <c r="G58" s="313">
        <f>SUMIFS(Adjustments!$G:$G,Adjustments!$H:$H,"2C",Adjustments!$I:$I,'Schedule 2C Adjustments'!$F$12,Adjustments!$J:$J,'Schedule 2C Adjustments'!$A58)</f>
        <v>0</v>
      </c>
      <c r="H58" s="309">
        <f t="shared" si="0"/>
        <v>0</v>
      </c>
      <c r="I58" s="68">
        <f>IFERROR(F58*'As-Filed Schedule 1'!$E$103,0)</f>
        <v>0</v>
      </c>
      <c r="J58" s="310">
        <f>IFERROR(H58*'Adjusted Schedule 1'!$E$104,0)</f>
        <v>0</v>
      </c>
      <c r="K58" s="68">
        <f t="shared" si="1"/>
        <v>0</v>
      </c>
      <c r="L58" s="310">
        <f t="shared" si="2"/>
        <v>0</v>
      </c>
      <c r="N58" s="117">
        <f>'As-Filed Schedule 2C'!J58</f>
        <v>0</v>
      </c>
      <c r="O58" s="313">
        <f>SUMIFS(Adjustments!$G:$G,Adjustments!$H:$H,"2C",Adjustments!$I:$I,'Schedule 2C Adjustments'!$N$12,Adjustments!$J:$J,'Schedule 2C Adjustments'!$A58)</f>
        <v>0</v>
      </c>
      <c r="P58" s="309">
        <f t="shared" si="3"/>
        <v>0</v>
      </c>
      <c r="Q58" s="68">
        <f>IFERROR(N58*'As-Filed Schedule 1'!$E$103,0)</f>
        <v>0</v>
      </c>
      <c r="R58" s="310">
        <f>IFERROR(P58*'Adjusted Schedule 1'!$E$104,0)</f>
        <v>0</v>
      </c>
      <c r="S58" s="68">
        <f t="shared" si="4"/>
        <v>0</v>
      </c>
      <c r="T58" s="310">
        <f t="shared" si="5"/>
        <v>0</v>
      </c>
      <c r="V58" s="120">
        <f>'As-Filed Schedule 2C'!N58</f>
        <v>0</v>
      </c>
      <c r="W58" s="313">
        <f>SUMIFS(Adjustments!$G:$G,Adjustments!$H:$H,"2C",Adjustments!$I:$I,'Schedule 2C Adjustments'!$V$12,Adjustments!$J:$J,'Schedule 2C Adjustments'!$A58)</f>
        <v>0</v>
      </c>
      <c r="X58" s="309">
        <f t="shared" si="6"/>
        <v>0</v>
      </c>
      <c r="Y58" s="120">
        <f>'As-Filed Schedule 2C'!O58</f>
        <v>0</v>
      </c>
      <c r="Z58" s="313">
        <f>SUMIFS(Adjustments!$G:$G,Adjustments!$H:$H,"2C",Adjustments!$I:$I,'Schedule 2C Adjustments'!$Y$12,Adjustments!$J:$J,'Schedule 2C Adjustments'!$A58)</f>
        <v>0</v>
      </c>
      <c r="AA58" s="309">
        <f t="shared" si="7"/>
        <v>0</v>
      </c>
    </row>
    <row r="59" spans="1:27" x14ac:dyDescent="0.35">
      <c r="A59" s="24">
        <v>45</v>
      </c>
      <c r="B59" s="507" t="str">
        <f>IF('As-Filed Schedule 2C'!B59:D59=0,"",'As-Filed Schedule 2C'!B59:D59)</f>
        <v/>
      </c>
      <c r="C59" s="507"/>
      <c r="D59" s="507"/>
      <c r="F59" s="117">
        <f>'As-Filed Schedule 2C'!F59</f>
        <v>0</v>
      </c>
      <c r="G59" s="313">
        <f>SUMIFS(Adjustments!$G:$G,Adjustments!$H:$H,"2C",Adjustments!$I:$I,'Schedule 2C Adjustments'!$F$12,Adjustments!$J:$J,'Schedule 2C Adjustments'!$A59)</f>
        <v>0</v>
      </c>
      <c r="H59" s="309">
        <f t="shared" si="0"/>
        <v>0</v>
      </c>
      <c r="I59" s="68">
        <f>IFERROR(F59*'As-Filed Schedule 1'!$E$103,0)</f>
        <v>0</v>
      </c>
      <c r="J59" s="310">
        <f>IFERROR(H59*'Adjusted Schedule 1'!$E$104,0)</f>
        <v>0</v>
      </c>
      <c r="K59" s="68">
        <f t="shared" si="1"/>
        <v>0</v>
      </c>
      <c r="L59" s="310">
        <f t="shared" si="2"/>
        <v>0</v>
      </c>
      <c r="N59" s="117">
        <f>'As-Filed Schedule 2C'!J59</f>
        <v>0</v>
      </c>
      <c r="O59" s="313">
        <f>SUMIFS(Adjustments!$G:$G,Adjustments!$H:$H,"2C",Adjustments!$I:$I,'Schedule 2C Adjustments'!$N$12,Adjustments!$J:$J,'Schedule 2C Adjustments'!$A59)</f>
        <v>0</v>
      </c>
      <c r="P59" s="309">
        <f t="shared" si="3"/>
        <v>0</v>
      </c>
      <c r="Q59" s="68">
        <f>IFERROR(N59*'As-Filed Schedule 1'!$E$103,0)</f>
        <v>0</v>
      </c>
      <c r="R59" s="310">
        <f>IFERROR(P59*'Adjusted Schedule 1'!$E$104,0)</f>
        <v>0</v>
      </c>
      <c r="S59" s="68">
        <f t="shared" si="4"/>
        <v>0</v>
      </c>
      <c r="T59" s="310">
        <f t="shared" si="5"/>
        <v>0</v>
      </c>
      <c r="V59" s="120">
        <f>'As-Filed Schedule 2C'!N59</f>
        <v>0</v>
      </c>
      <c r="W59" s="313">
        <f>SUMIFS(Adjustments!$G:$G,Adjustments!$H:$H,"2C",Adjustments!$I:$I,'Schedule 2C Adjustments'!$V$12,Adjustments!$J:$J,'Schedule 2C Adjustments'!$A59)</f>
        <v>0</v>
      </c>
      <c r="X59" s="309">
        <f t="shared" si="6"/>
        <v>0</v>
      </c>
      <c r="Y59" s="120">
        <f>'As-Filed Schedule 2C'!O59</f>
        <v>0</v>
      </c>
      <c r="Z59" s="313">
        <f>SUMIFS(Adjustments!$G:$G,Adjustments!$H:$H,"2C",Adjustments!$I:$I,'Schedule 2C Adjustments'!$Y$12,Adjustments!$J:$J,'Schedule 2C Adjustments'!$A59)</f>
        <v>0</v>
      </c>
      <c r="AA59" s="309">
        <f t="shared" si="7"/>
        <v>0</v>
      </c>
    </row>
    <row r="60" spans="1:27" x14ac:dyDescent="0.35">
      <c r="A60" s="24">
        <v>46</v>
      </c>
      <c r="B60" s="507" t="str">
        <f>IF('As-Filed Schedule 2C'!B60:D60=0,"",'As-Filed Schedule 2C'!B60:D60)</f>
        <v/>
      </c>
      <c r="C60" s="507"/>
      <c r="D60" s="507"/>
      <c r="F60" s="117">
        <f>'As-Filed Schedule 2C'!F60</f>
        <v>0</v>
      </c>
      <c r="G60" s="313">
        <f>SUMIFS(Adjustments!$G:$G,Adjustments!$H:$H,"2C",Adjustments!$I:$I,'Schedule 2C Adjustments'!$F$12,Adjustments!$J:$J,'Schedule 2C Adjustments'!$A60)</f>
        <v>0</v>
      </c>
      <c r="H60" s="309">
        <f t="shared" si="0"/>
        <v>0</v>
      </c>
      <c r="I60" s="68">
        <f>IFERROR(F60*'As-Filed Schedule 1'!$E$103,0)</f>
        <v>0</v>
      </c>
      <c r="J60" s="310">
        <f>IFERROR(H60*'Adjusted Schedule 1'!$E$104,0)</f>
        <v>0</v>
      </c>
      <c r="K60" s="68">
        <f t="shared" si="1"/>
        <v>0</v>
      </c>
      <c r="L60" s="310">
        <f t="shared" si="2"/>
        <v>0</v>
      </c>
      <c r="N60" s="117">
        <f>'As-Filed Schedule 2C'!J60</f>
        <v>0</v>
      </c>
      <c r="O60" s="313">
        <f>SUMIFS(Adjustments!$G:$G,Adjustments!$H:$H,"2C",Adjustments!$I:$I,'Schedule 2C Adjustments'!$N$12,Adjustments!$J:$J,'Schedule 2C Adjustments'!$A60)</f>
        <v>0</v>
      </c>
      <c r="P60" s="309">
        <f t="shared" si="3"/>
        <v>0</v>
      </c>
      <c r="Q60" s="68">
        <f>IFERROR(N60*'As-Filed Schedule 1'!$E$103,0)</f>
        <v>0</v>
      </c>
      <c r="R60" s="310">
        <f>IFERROR(P60*'Adjusted Schedule 1'!$E$104,0)</f>
        <v>0</v>
      </c>
      <c r="S60" s="68">
        <f t="shared" si="4"/>
        <v>0</v>
      </c>
      <c r="T60" s="310">
        <f t="shared" si="5"/>
        <v>0</v>
      </c>
      <c r="V60" s="120">
        <f>'As-Filed Schedule 2C'!N60</f>
        <v>0</v>
      </c>
      <c r="W60" s="313">
        <f>SUMIFS(Adjustments!$G:$G,Adjustments!$H:$H,"2C",Adjustments!$I:$I,'Schedule 2C Adjustments'!$V$12,Adjustments!$J:$J,'Schedule 2C Adjustments'!$A60)</f>
        <v>0</v>
      </c>
      <c r="X60" s="309">
        <f t="shared" si="6"/>
        <v>0</v>
      </c>
      <c r="Y60" s="120">
        <f>'As-Filed Schedule 2C'!O60</f>
        <v>0</v>
      </c>
      <c r="Z60" s="313">
        <f>SUMIFS(Adjustments!$G:$G,Adjustments!$H:$H,"2C",Adjustments!$I:$I,'Schedule 2C Adjustments'!$Y$12,Adjustments!$J:$J,'Schedule 2C Adjustments'!$A60)</f>
        <v>0</v>
      </c>
      <c r="AA60" s="309">
        <f t="shared" si="7"/>
        <v>0</v>
      </c>
    </row>
    <row r="61" spans="1:27" x14ac:dyDescent="0.35">
      <c r="A61" s="24">
        <v>47</v>
      </c>
      <c r="B61" s="507" t="str">
        <f>IF('As-Filed Schedule 2C'!B61:D61=0,"",'As-Filed Schedule 2C'!B61:D61)</f>
        <v/>
      </c>
      <c r="C61" s="507"/>
      <c r="D61" s="507"/>
      <c r="F61" s="117">
        <f>'As-Filed Schedule 2C'!F61</f>
        <v>0</v>
      </c>
      <c r="G61" s="313">
        <f>SUMIFS(Adjustments!$G:$G,Adjustments!$H:$H,"2C",Adjustments!$I:$I,'Schedule 2C Adjustments'!$F$12,Adjustments!$J:$J,'Schedule 2C Adjustments'!$A61)</f>
        <v>0</v>
      </c>
      <c r="H61" s="309">
        <f t="shared" si="0"/>
        <v>0</v>
      </c>
      <c r="I61" s="68">
        <f>IFERROR(F61*'As-Filed Schedule 1'!$E$103,0)</f>
        <v>0</v>
      </c>
      <c r="J61" s="310">
        <f>IFERROR(H61*'Adjusted Schedule 1'!$E$104,0)</f>
        <v>0</v>
      </c>
      <c r="K61" s="68">
        <f t="shared" si="1"/>
        <v>0</v>
      </c>
      <c r="L61" s="310">
        <f t="shared" si="2"/>
        <v>0</v>
      </c>
      <c r="N61" s="117">
        <f>'As-Filed Schedule 2C'!J61</f>
        <v>0</v>
      </c>
      <c r="O61" s="313">
        <f>SUMIFS(Adjustments!$G:$G,Adjustments!$H:$H,"2C",Adjustments!$I:$I,'Schedule 2C Adjustments'!$N$12,Adjustments!$J:$J,'Schedule 2C Adjustments'!$A61)</f>
        <v>0</v>
      </c>
      <c r="P61" s="309">
        <f t="shared" si="3"/>
        <v>0</v>
      </c>
      <c r="Q61" s="68">
        <f>IFERROR(N61*'As-Filed Schedule 1'!$E$103,0)</f>
        <v>0</v>
      </c>
      <c r="R61" s="310">
        <f>IFERROR(P61*'Adjusted Schedule 1'!$E$104,0)</f>
        <v>0</v>
      </c>
      <c r="S61" s="68">
        <f t="shared" si="4"/>
        <v>0</v>
      </c>
      <c r="T61" s="310">
        <f t="shared" si="5"/>
        <v>0</v>
      </c>
      <c r="V61" s="120">
        <f>'As-Filed Schedule 2C'!N61</f>
        <v>0</v>
      </c>
      <c r="W61" s="313">
        <f>SUMIFS(Adjustments!$G:$G,Adjustments!$H:$H,"2C",Adjustments!$I:$I,'Schedule 2C Adjustments'!$V$12,Adjustments!$J:$J,'Schedule 2C Adjustments'!$A61)</f>
        <v>0</v>
      </c>
      <c r="X61" s="309">
        <f t="shared" si="6"/>
        <v>0</v>
      </c>
      <c r="Y61" s="120">
        <f>'As-Filed Schedule 2C'!O61</f>
        <v>0</v>
      </c>
      <c r="Z61" s="313">
        <f>SUMIFS(Adjustments!$G:$G,Adjustments!$H:$H,"2C",Adjustments!$I:$I,'Schedule 2C Adjustments'!$Y$12,Adjustments!$J:$J,'Schedule 2C Adjustments'!$A61)</f>
        <v>0</v>
      </c>
      <c r="AA61" s="309">
        <f t="shared" si="7"/>
        <v>0</v>
      </c>
    </row>
    <row r="62" spans="1:27" x14ac:dyDescent="0.35">
      <c r="A62" s="24">
        <v>48</v>
      </c>
      <c r="B62" s="507" t="str">
        <f>IF('As-Filed Schedule 2C'!B62:D62=0,"",'As-Filed Schedule 2C'!B62:D62)</f>
        <v/>
      </c>
      <c r="C62" s="507"/>
      <c r="D62" s="507"/>
      <c r="F62" s="117">
        <f>'As-Filed Schedule 2C'!F62</f>
        <v>0</v>
      </c>
      <c r="G62" s="313">
        <f>SUMIFS(Adjustments!$G:$G,Adjustments!$H:$H,"2C",Adjustments!$I:$I,'Schedule 2C Adjustments'!$F$12,Adjustments!$J:$J,'Schedule 2C Adjustments'!$A62)</f>
        <v>0</v>
      </c>
      <c r="H62" s="309">
        <f t="shared" si="0"/>
        <v>0</v>
      </c>
      <c r="I62" s="68">
        <f>IFERROR(F62*'As-Filed Schedule 1'!$E$103,0)</f>
        <v>0</v>
      </c>
      <c r="J62" s="310">
        <f>IFERROR(H62*'Adjusted Schedule 1'!$E$104,0)</f>
        <v>0</v>
      </c>
      <c r="K62" s="68">
        <f t="shared" si="1"/>
        <v>0</v>
      </c>
      <c r="L62" s="310">
        <f t="shared" si="2"/>
        <v>0</v>
      </c>
      <c r="N62" s="117">
        <f>'As-Filed Schedule 2C'!J62</f>
        <v>0</v>
      </c>
      <c r="O62" s="313">
        <f>SUMIFS(Adjustments!$G:$G,Adjustments!$H:$H,"2C",Adjustments!$I:$I,'Schedule 2C Adjustments'!$N$12,Adjustments!$J:$J,'Schedule 2C Adjustments'!$A62)</f>
        <v>0</v>
      </c>
      <c r="P62" s="309">
        <f t="shared" si="3"/>
        <v>0</v>
      </c>
      <c r="Q62" s="68">
        <f>IFERROR(N62*'As-Filed Schedule 1'!$E$103,0)</f>
        <v>0</v>
      </c>
      <c r="R62" s="310">
        <f>IFERROR(P62*'Adjusted Schedule 1'!$E$104,0)</f>
        <v>0</v>
      </c>
      <c r="S62" s="68">
        <f t="shared" si="4"/>
        <v>0</v>
      </c>
      <c r="T62" s="310">
        <f t="shared" si="5"/>
        <v>0</v>
      </c>
      <c r="V62" s="120">
        <f>'As-Filed Schedule 2C'!N62</f>
        <v>0</v>
      </c>
      <c r="W62" s="313">
        <f>SUMIFS(Adjustments!$G:$G,Adjustments!$H:$H,"2C",Adjustments!$I:$I,'Schedule 2C Adjustments'!$V$12,Adjustments!$J:$J,'Schedule 2C Adjustments'!$A62)</f>
        <v>0</v>
      </c>
      <c r="X62" s="309">
        <f t="shared" si="6"/>
        <v>0</v>
      </c>
      <c r="Y62" s="120">
        <f>'As-Filed Schedule 2C'!O62</f>
        <v>0</v>
      </c>
      <c r="Z62" s="313">
        <f>SUMIFS(Adjustments!$G:$G,Adjustments!$H:$H,"2C",Adjustments!$I:$I,'Schedule 2C Adjustments'!$Y$12,Adjustments!$J:$J,'Schedule 2C Adjustments'!$A62)</f>
        <v>0</v>
      </c>
      <c r="AA62" s="309">
        <f t="shared" si="7"/>
        <v>0</v>
      </c>
    </row>
    <row r="63" spans="1:27" x14ac:dyDescent="0.35">
      <c r="A63" s="24">
        <v>49</v>
      </c>
      <c r="B63" s="507" t="str">
        <f>IF('As-Filed Schedule 2C'!B63:D63=0,"",'As-Filed Schedule 2C'!B63:D63)</f>
        <v/>
      </c>
      <c r="C63" s="507"/>
      <c r="D63" s="507"/>
      <c r="F63" s="117">
        <f>'As-Filed Schedule 2C'!F63</f>
        <v>0</v>
      </c>
      <c r="G63" s="313">
        <f>SUMIFS(Adjustments!$G:$G,Adjustments!$H:$H,"2C",Adjustments!$I:$I,'Schedule 2C Adjustments'!$F$12,Adjustments!$J:$J,'Schedule 2C Adjustments'!$A63)</f>
        <v>0</v>
      </c>
      <c r="H63" s="309">
        <f t="shared" si="0"/>
        <v>0</v>
      </c>
      <c r="I63" s="68">
        <f>IFERROR(F63*'As-Filed Schedule 1'!$E$103,0)</f>
        <v>0</v>
      </c>
      <c r="J63" s="310">
        <f>IFERROR(H63*'Adjusted Schedule 1'!$E$104,0)</f>
        <v>0</v>
      </c>
      <c r="K63" s="68">
        <f t="shared" si="1"/>
        <v>0</v>
      </c>
      <c r="L63" s="310">
        <f t="shared" si="2"/>
        <v>0</v>
      </c>
      <c r="N63" s="117">
        <f>'As-Filed Schedule 2C'!J63</f>
        <v>0</v>
      </c>
      <c r="O63" s="313">
        <f>SUMIFS(Adjustments!$G:$G,Adjustments!$H:$H,"2C",Adjustments!$I:$I,'Schedule 2C Adjustments'!$N$12,Adjustments!$J:$J,'Schedule 2C Adjustments'!$A63)</f>
        <v>0</v>
      </c>
      <c r="P63" s="309">
        <f t="shared" si="3"/>
        <v>0</v>
      </c>
      <c r="Q63" s="68">
        <f>IFERROR(N63*'As-Filed Schedule 1'!$E$103,0)</f>
        <v>0</v>
      </c>
      <c r="R63" s="310">
        <f>IFERROR(P63*'Adjusted Schedule 1'!$E$104,0)</f>
        <v>0</v>
      </c>
      <c r="S63" s="68">
        <f t="shared" si="4"/>
        <v>0</v>
      </c>
      <c r="T63" s="310">
        <f t="shared" si="5"/>
        <v>0</v>
      </c>
      <c r="V63" s="120">
        <f>'As-Filed Schedule 2C'!N63</f>
        <v>0</v>
      </c>
      <c r="W63" s="313">
        <f>SUMIFS(Adjustments!$G:$G,Adjustments!$H:$H,"2C",Adjustments!$I:$I,'Schedule 2C Adjustments'!$V$12,Adjustments!$J:$J,'Schedule 2C Adjustments'!$A63)</f>
        <v>0</v>
      </c>
      <c r="X63" s="309">
        <f t="shared" si="6"/>
        <v>0</v>
      </c>
      <c r="Y63" s="120">
        <f>'As-Filed Schedule 2C'!O63</f>
        <v>0</v>
      </c>
      <c r="Z63" s="313">
        <f>SUMIFS(Adjustments!$G:$G,Adjustments!$H:$H,"2C",Adjustments!$I:$I,'Schedule 2C Adjustments'!$Y$12,Adjustments!$J:$J,'Schedule 2C Adjustments'!$A63)</f>
        <v>0</v>
      </c>
      <c r="AA63" s="309">
        <f t="shared" si="7"/>
        <v>0</v>
      </c>
    </row>
    <row r="64" spans="1:27" x14ac:dyDescent="0.35">
      <c r="A64" s="24">
        <v>50</v>
      </c>
      <c r="B64" s="507" t="str">
        <f>IF('As-Filed Schedule 2C'!B64:D64=0,"",'As-Filed Schedule 2C'!B64:D64)</f>
        <v/>
      </c>
      <c r="C64" s="507"/>
      <c r="D64" s="507"/>
      <c r="F64" s="117">
        <f>'As-Filed Schedule 2C'!F64</f>
        <v>0</v>
      </c>
      <c r="G64" s="313">
        <f>SUMIFS(Adjustments!$G:$G,Adjustments!$H:$H,"2C",Adjustments!$I:$I,'Schedule 2C Adjustments'!$F$12,Adjustments!$J:$J,'Schedule 2C Adjustments'!$A64)</f>
        <v>0</v>
      </c>
      <c r="H64" s="309">
        <f t="shared" si="0"/>
        <v>0</v>
      </c>
      <c r="I64" s="68">
        <f>IFERROR(F64*'As-Filed Schedule 1'!$E$103,0)</f>
        <v>0</v>
      </c>
      <c r="J64" s="310">
        <f>IFERROR(H64*'Adjusted Schedule 1'!$E$104,0)</f>
        <v>0</v>
      </c>
      <c r="K64" s="68">
        <f t="shared" si="1"/>
        <v>0</v>
      </c>
      <c r="L64" s="310">
        <f t="shared" si="2"/>
        <v>0</v>
      </c>
      <c r="N64" s="117">
        <f>'As-Filed Schedule 2C'!J64</f>
        <v>0</v>
      </c>
      <c r="O64" s="313">
        <f>SUMIFS(Adjustments!$G:$G,Adjustments!$H:$H,"2C",Adjustments!$I:$I,'Schedule 2C Adjustments'!$N$12,Adjustments!$J:$J,'Schedule 2C Adjustments'!$A64)</f>
        <v>0</v>
      </c>
      <c r="P64" s="309">
        <f t="shared" si="3"/>
        <v>0</v>
      </c>
      <c r="Q64" s="68">
        <f>IFERROR(N64*'As-Filed Schedule 1'!$E$103,0)</f>
        <v>0</v>
      </c>
      <c r="R64" s="310">
        <f>IFERROR(P64*'Adjusted Schedule 1'!$E$104,0)</f>
        <v>0</v>
      </c>
      <c r="S64" s="68">
        <f t="shared" si="4"/>
        <v>0</v>
      </c>
      <c r="T64" s="310">
        <f t="shared" si="5"/>
        <v>0</v>
      </c>
      <c r="V64" s="120">
        <f>'As-Filed Schedule 2C'!N64</f>
        <v>0</v>
      </c>
      <c r="W64" s="313">
        <f>SUMIFS(Adjustments!$G:$G,Adjustments!$H:$H,"2C",Adjustments!$I:$I,'Schedule 2C Adjustments'!$V$12,Adjustments!$J:$J,'Schedule 2C Adjustments'!$A64)</f>
        <v>0</v>
      </c>
      <c r="X64" s="309">
        <f t="shared" si="6"/>
        <v>0</v>
      </c>
      <c r="Y64" s="120">
        <f>'As-Filed Schedule 2C'!O64</f>
        <v>0</v>
      </c>
      <c r="Z64" s="313">
        <f>SUMIFS(Adjustments!$G:$G,Adjustments!$H:$H,"2C",Adjustments!$I:$I,'Schedule 2C Adjustments'!$Y$12,Adjustments!$J:$J,'Schedule 2C Adjustments'!$A64)</f>
        <v>0</v>
      </c>
      <c r="AA64" s="309">
        <f t="shared" si="7"/>
        <v>0</v>
      </c>
    </row>
    <row r="65" spans="1:27" x14ac:dyDescent="0.35">
      <c r="A65" s="24">
        <v>51</v>
      </c>
      <c r="B65" s="507" t="str">
        <f>IF('As-Filed Schedule 2C'!B65:D65=0,"",'As-Filed Schedule 2C'!B65:D65)</f>
        <v/>
      </c>
      <c r="C65" s="507"/>
      <c r="D65" s="507"/>
      <c r="F65" s="117">
        <f>'As-Filed Schedule 2C'!F65</f>
        <v>0</v>
      </c>
      <c r="G65" s="313">
        <f>SUMIFS(Adjustments!$G:$G,Adjustments!$H:$H,"2C",Adjustments!$I:$I,'Schedule 2C Adjustments'!$F$12,Adjustments!$J:$J,'Schedule 2C Adjustments'!$A65)</f>
        <v>0</v>
      </c>
      <c r="H65" s="309">
        <f t="shared" si="0"/>
        <v>0</v>
      </c>
      <c r="I65" s="68">
        <f>IFERROR(F65*'As-Filed Schedule 1'!$E$103,0)</f>
        <v>0</v>
      </c>
      <c r="J65" s="310">
        <f>IFERROR(H65*'Adjusted Schedule 1'!$E$104,0)</f>
        <v>0</v>
      </c>
      <c r="K65" s="68">
        <f t="shared" si="1"/>
        <v>0</v>
      </c>
      <c r="L65" s="310">
        <f t="shared" si="2"/>
        <v>0</v>
      </c>
      <c r="N65" s="117">
        <f>'As-Filed Schedule 2C'!J65</f>
        <v>0</v>
      </c>
      <c r="O65" s="313">
        <f>SUMIFS(Adjustments!$G:$G,Adjustments!$H:$H,"2C",Adjustments!$I:$I,'Schedule 2C Adjustments'!$N$12,Adjustments!$J:$J,'Schedule 2C Adjustments'!$A65)</f>
        <v>0</v>
      </c>
      <c r="P65" s="309">
        <f t="shared" si="3"/>
        <v>0</v>
      </c>
      <c r="Q65" s="68">
        <f>IFERROR(N65*'As-Filed Schedule 1'!$E$103,0)</f>
        <v>0</v>
      </c>
      <c r="R65" s="310">
        <f>IFERROR(P65*'Adjusted Schedule 1'!$E$104,0)</f>
        <v>0</v>
      </c>
      <c r="S65" s="68">
        <f t="shared" si="4"/>
        <v>0</v>
      </c>
      <c r="T65" s="310">
        <f t="shared" si="5"/>
        <v>0</v>
      </c>
      <c r="V65" s="120">
        <f>'As-Filed Schedule 2C'!N65</f>
        <v>0</v>
      </c>
      <c r="W65" s="313">
        <f>SUMIFS(Adjustments!$G:$G,Adjustments!$H:$H,"2C",Adjustments!$I:$I,'Schedule 2C Adjustments'!$V$12,Adjustments!$J:$J,'Schedule 2C Adjustments'!$A65)</f>
        <v>0</v>
      </c>
      <c r="X65" s="309">
        <f t="shared" si="6"/>
        <v>0</v>
      </c>
      <c r="Y65" s="120">
        <f>'As-Filed Schedule 2C'!O65</f>
        <v>0</v>
      </c>
      <c r="Z65" s="313">
        <f>SUMIFS(Adjustments!$G:$G,Adjustments!$H:$H,"2C",Adjustments!$I:$I,'Schedule 2C Adjustments'!$Y$12,Adjustments!$J:$J,'Schedule 2C Adjustments'!$A65)</f>
        <v>0</v>
      </c>
      <c r="AA65" s="309">
        <f t="shared" si="7"/>
        <v>0</v>
      </c>
    </row>
    <row r="66" spans="1:27" x14ac:dyDescent="0.35">
      <c r="A66" s="24">
        <v>52</v>
      </c>
      <c r="B66" s="507" t="str">
        <f>IF('As-Filed Schedule 2C'!B66:D66=0,"",'As-Filed Schedule 2C'!B66:D66)</f>
        <v/>
      </c>
      <c r="C66" s="507"/>
      <c r="D66" s="507"/>
      <c r="F66" s="117">
        <f>'As-Filed Schedule 2C'!F66</f>
        <v>0</v>
      </c>
      <c r="G66" s="313">
        <f>SUMIFS(Adjustments!$G:$G,Adjustments!$H:$H,"2C",Adjustments!$I:$I,'Schedule 2C Adjustments'!$F$12,Adjustments!$J:$J,'Schedule 2C Adjustments'!$A66)</f>
        <v>0</v>
      </c>
      <c r="H66" s="309">
        <f t="shared" si="0"/>
        <v>0</v>
      </c>
      <c r="I66" s="68">
        <f>IFERROR(F66*'As-Filed Schedule 1'!$E$103,0)</f>
        <v>0</v>
      </c>
      <c r="J66" s="310">
        <f>IFERROR(H66*'Adjusted Schedule 1'!$E$104,0)</f>
        <v>0</v>
      </c>
      <c r="K66" s="68">
        <f t="shared" si="1"/>
        <v>0</v>
      </c>
      <c r="L66" s="310">
        <f t="shared" si="2"/>
        <v>0</v>
      </c>
      <c r="N66" s="117">
        <f>'As-Filed Schedule 2C'!J66</f>
        <v>0</v>
      </c>
      <c r="O66" s="313">
        <f>SUMIFS(Adjustments!$G:$G,Adjustments!$H:$H,"2C",Adjustments!$I:$I,'Schedule 2C Adjustments'!$N$12,Adjustments!$J:$J,'Schedule 2C Adjustments'!$A66)</f>
        <v>0</v>
      </c>
      <c r="P66" s="309">
        <f t="shared" si="3"/>
        <v>0</v>
      </c>
      <c r="Q66" s="68">
        <f>IFERROR(N66*'As-Filed Schedule 1'!$E$103,0)</f>
        <v>0</v>
      </c>
      <c r="R66" s="310">
        <f>IFERROR(P66*'Adjusted Schedule 1'!$E$104,0)</f>
        <v>0</v>
      </c>
      <c r="S66" s="68">
        <f t="shared" si="4"/>
        <v>0</v>
      </c>
      <c r="T66" s="310">
        <f t="shared" si="5"/>
        <v>0</v>
      </c>
      <c r="V66" s="120">
        <f>'As-Filed Schedule 2C'!N66</f>
        <v>0</v>
      </c>
      <c r="W66" s="313">
        <f>SUMIFS(Adjustments!$G:$G,Adjustments!$H:$H,"2C",Adjustments!$I:$I,'Schedule 2C Adjustments'!$V$12,Adjustments!$J:$J,'Schedule 2C Adjustments'!$A66)</f>
        <v>0</v>
      </c>
      <c r="X66" s="309">
        <f t="shared" si="6"/>
        <v>0</v>
      </c>
      <c r="Y66" s="120">
        <f>'As-Filed Schedule 2C'!O66</f>
        <v>0</v>
      </c>
      <c r="Z66" s="313">
        <f>SUMIFS(Adjustments!$G:$G,Adjustments!$H:$H,"2C",Adjustments!$I:$I,'Schedule 2C Adjustments'!$Y$12,Adjustments!$J:$J,'Schedule 2C Adjustments'!$A66)</f>
        <v>0</v>
      </c>
      <c r="AA66" s="309">
        <f t="shared" si="7"/>
        <v>0</v>
      </c>
    </row>
    <row r="67" spans="1:27" x14ac:dyDescent="0.35">
      <c r="A67" s="24">
        <v>53</v>
      </c>
      <c r="B67" s="507" t="str">
        <f>IF('As-Filed Schedule 2C'!B67:D67=0,"",'As-Filed Schedule 2C'!B67:D67)</f>
        <v/>
      </c>
      <c r="C67" s="507"/>
      <c r="D67" s="507"/>
      <c r="F67" s="117">
        <f>'As-Filed Schedule 2C'!F67</f>
        <v>0</v>
      </c>
      <c r="G67" s="313">
        <f>SUMIFS(Adjustments!$G:$G,Adjustments!$H:$H,"2C",Adjustments!$I:$I,'Schedule 2C Adjustments'!$F$12,Adjustments!$J:$J,'Schedule 2C Adjustments'!$A67)</f>
        <v>0</v>
      </c>
      <c r="H67" s="309">
        <f t="shared" si="0"/>
        <v>0</v>
      </c>
      <c r="I67" s="68">
        <f>IFERROR(F67*'As-Filed Schedule 1'!$E$103,0)</f>
        <v>0</v>
      </c>
      <c r="J67" s="310">
        <f>IFERROR(H67*'Adjusted Schedule 1'!$E$104,0)</f>
        <v>0</v>
      </c>
      <c r="K67" s="68">
        <f t="shared" si="1"/>
        <v>0</v>
      </c>
      <c r="L67" s="310">
        <f t="shared" si="2"/>
        <v>0</v>
      </c>
      <c r="N67" s="117">
        <f>'As-Filed Schedule 2C'!J67</f>
        <v>0</v>
      </c>
      <c r="O67" s="313">
        <f>SUMIFS(Adjustments!$G:$G,Adjustments!$H:$H,"2C",Adjustments!$I:$I,'Schedule 2C Adjustments'!$N$12,Adjustments!$J:$J,'Schedule 2C Adjustments'!$A67)</f>
        <v>0</v>
      </c>
      <c r="P67" s="309">
        <f t="shared" si="3"/>
        <v>0</v>
      </c>
      <c r="Q67" s="68">
        <f>IFERROR(N67*'As-Filed Schedule 1'!$E$103,0)</f>
        <v>0</v>
      </c>
      <c r="R67" s="310">
        <f>IFERROR(P67*'Adjusted Schedule 1'!$E$104,0)</f>
        <v>0</v>
      </c>
      <c r="S67" s="68">
        <f t="shared" si="4"/>
        <v>0</v>
      </c>
      <c r="T67" s="310">
        <f t="shared" si="5"/>
        <v>0</v>
      </c>
      <c r="V67" s="120">
        <f>'As-Filed Schedule 2C'!N67</f>
        <v>0</v>
      </c>
      <c r="W67" s="313">
        <f>SUMIFS(Adjustments!$G:$G,Adjustments!$H:$H,"2C",Adjustments!$I:$I,'Schedule 2C Adjustments'!$V$12,Adjustments!$J:$J,'Schedule 2C Adjustments'!$A67)</f>
        <v>0</v>
      </c>
      <c r="X67" s="309">
        <f t="shared" si="6"/>
        <v>0</v>
      </c>
      <c r="Y67" s="120">
        <f>'As-Filed Schedule 2C'!O67</f>
        <v>0</v>
      </c>
      <c r="Z67" s="313">
        <f>SUMIFS(Adjustments!$G:$G,Adjustments!$H:$H,"2C",Adjustments!$I:$I,'Schedule 2C Adjustments'!$Y$12,Adjustments!$J:$J,'Schedule 2C Adjustments'!$A67)</f>
        <v>0</v>
      </c>
      <c r="AA67" s="309">
        <f t="shared" si="7"/>
        <v>0</v>
      </c>
    </row>
    <row r="68" spans="1:27" x14ac:dyDescent="0.35">
      <c r="A68" s="24">
        <v>54</v>
      </c>
      <c r="B68" s="507" t="str">
        <f>IF('As-Filed Schedule 2C'!B68:D68=0,"",'As-Filed Schedule 2C'!B68:D68)</f>
        <v/>
      </c>
      <c r="C68" s="507"/>
      <c r="D68" s="507"/>
      <c r="F68" s="117">
        <f>'As-Filed Schedule 2C'!F68</f>
        <v>0</v>
      </c>
      <c r="G68" s="313">
        <f>SUMIFS(Adjustments!$G:$G,Adjustments!$H:$H,"2C",Adjustments!$I:$I,'Schedule 2C Adjustments'!$F$12,Adjustments!$J:$J,'Schedule 2C Adjustments'!$A68)</f>
        <v>0</v>
      </c>
      <c r="H68" s="309">
        <f t="shared" si="0"/>
        <v>0</v>
      </c>
      <c r="I68" s="68">
        <f>IFERROR(F68*'As-Filed Schedule 1'!$E$103,0)</f>
        <v>0</v>
      </c>
      <c r="J68" s="310">
        <f>IFERROR(H68*'Adjusted Schedule 1'!$E$104,0)</f>
        <v>0</v>
      </c>
      <c r="K68" s="68">
        <f t="shared" si="1"/>
        <v>0</v>
      </c>
      <c r="L68" s="310">
        <f t="shared" si="2"/>
        <v>0</v>
      </c>
      <c r="N68" s="117">
        <f>'As-Filed Schedule 2C'!J68</f>
        <v>0</v>
      </c>
      <c r="O68" s="313">
        <f>SUMIFS(Adjustments!$G:$G,Adjustments!$H:$H,"2C",Adjustments!$I:$I,'Schedule 2C Adjustments'!$N$12,Adjustments!$J:$J,'Schedule 2C Adjustments'!$A68)</f>
        <v>0</v>
      </c>
      <c r="P68" s="309">
        <f t="shared" si="3"/>
        <v>0</v>
      </c>
      <c r="Q68" s="68">
        <f>IFERROR(N68*'As-Filed Schedule 1'!$E$103,0)</f>
        <v>0</v>
      </c>
      <c r="R68" s="310">
        <f>IFERROR(P68*'Adjusted Schedule 1'!$E$104,0)</f>
        <v>0</v>
      </c>
      <c r="S68" s="68">
        <f t="shared" si="4"/>
        <v>0</v>
      </c>
      <c r="T68" s="310">
        <f t="shared" si="5"/>
        <v>0</v>
      </c>
      <c r="V68" s="120">
        <f>'As-Filed Schedule 2C'!N68</f>
        <v>0</v>
      </c>
      <c r="W68" s="313">
        <f>SUMIFS(Adjustments!$G:$G,Adjustments!$H:$H,"2C",Adjustments!$I:$I,'Schedule 2C Adjustments'!$V$12,Adjustments!$J:$J,'Schedule 2C Adjustments'!$A68)</f>
        <v>0</v>
      </c>
      <c r="X68" s="309">
        <f t="shared" si="6"/>
        <v>0</v>
      </c>
      <c r="Y68" s="120">
        <f>'As-Filed Schedule 2C'!O68</f>
        <v>0</v>
      </c>
      <c r="Z68" s="313">
        <f>SUMIFS(Adjustments!$G:$G,Adjustments!$H:$H,"2C",Adjustments!$I:$I,'Schedule 2C Adjustments'!$Y$12,Adjustments!$J:$J,'Schedule 2C Adjustments'!$A68)</f>
        <v>0</v>
      </c>
      <c r="AA68" s="309">
        <f t="shared" si="7"/>
        <v>0</v>
      </c>
    </row>
    <row r="69" spans="1:27" x14ac:dyDescent="0.35">
      <c r="A69" s="24">
        <v>55</v>
      </c>
      <c r="B69" s="507" t="str">
        <f>IF('As-Filed Schedule 2C'!B69:D69=0,"",'As-Filed Schedule 2C'!B69:D69)</f>
        <v/>
      </c>
      <c r="C69" s="507"/>
      <c r="D69" s="507"/>
      <c r="F69" s="117">
        <f>'As-Filed Schedule 2C'!F69</f>
        <v>0</v>
      </c>
      <c r="G69" s="313">
        <f>SUMIFS(Adjustments!$G:$G,Adjustments!$H:$H,"2C",Adjustments!$I:$I,'Schedule 2C Adjustments'!$F$12,Adjustments!$J:$J,'Schedule 2C Adjustments'!$A69)</f>
        <v>0</v>
      </c>
      <c r="H69" s="309">
        <f t="shared" si="0"/>
        <v>0</v>
      </c>
      <c r="I69" s="68">
        <f>IFERROR(F69*'As-Filed Schedule 1'!$E$103,0)</f>
        <v>0</v>
      </c>
      <c r="J69" s="310">
        <f>IFERROR(H69*'Adjusted Schedule 1'!$E$104,0)</f>
        <v>0</v>
      </c>
      <c r="K69" s="68">
        <f t="shared" si="1"/>
        <v>0</v>
      </c>
      <c r="L69" s="310">
        <f t="shared" si="2"/>
        <v>0</v>
      </c>
      <c r="N69" s="117">
        <f>'As-Filed Schedule 2C'!J69</f>
        <v>0</v>
      </c>
      <c r="O69" s="313">
        <f>SUMIFS(Adjustments!$G:$G,Adjustments!$H:$H,"2C",Adjustments!$I:$I,'Schedule 2C Adjustments'!$N$12,Adjustments!$J:$J,'Schedule 2C Adjustments'!$A69)</f>
        <v>0</v>
      </c>
      <c r="P69" s="309">
        <f t="shared" si="3"/>
        <v>0</v>
      </c>
      <c r="Q69" s="68">
        <f>IFERROR(N69*'As-Filed Schedule 1'!$E$103,0)</f>
        <v>0</v>
      </c>
      <c r="R69" s="310">
        <f>IFERROR(P69*'Adjusted Schedule 1'!$E$104,0)</f>
        <v>0</v>
      </c>
      <c r="S69" s="68">
        <f t="shared" si="4"/>
        <v>0</v>
      </c>
      <c r="T69" s="310">
        <f t="shared" si="5"/>
        <v>0</v>
      </c>
      <c r="V69" s="120">
        <f>'As-Filed Schedule 2C'!N69</f>
        <v>0</v>
      </c>
      <c r="W69" s="313">
        <f>SUMIFS(Adjustments!$G:$G,Adjustments!$H:$H,"2C",Adjustments!$I:$I,'Schedule 2C Adjustments'!$V$12,Adjustments!$J:$J,'Schedule 2C Adjustments'!$A69)</f>
        <v>0</v>
      </c>
      <c r="X69" s="309">
        <f t="shared" si="6"/>
        <v>0</v>
      </c>
      <c r="Y69" s="120">
        <f>'As-Filed Schedule 2C'!O69</f>
        <v>0</v>
      </c>
      <c r="Z69" s="313">
        <f>SUMIFS(Adjustments!$G:$G,Adjustments!$H:$H,"2C",Adjustments!$I:$I,'Schedule 2C Adjustments'!$Y$12,Adjustments!$J:$J,'Schedule 2C Adjustments'!$A69)</f>
        <v>0</v>
      </c>
      <c r="AA69" s="309">
        <f t="shared" si="7"/>
        <v>0</v>
      </c>
    </row>
    <row r="70" spans="1:27" x14ac:dyDescent="0.35">
      <c r="A70" s="24">
        <v>56</v>
      </c>
      <c r="B70" s="507" t="str">
        <f>IF('As-Filed Schedule 2C'!B70:D70=0,"",'As-Filed Schedule 2C'!B70:D70)</f>
        <v/>
      </c>
      <c r="C70" s="507"/>
      <c r="D70" s="507"/>
      <c r="F70" s="117">
        <f>'As-Filed Schedule 2C'!F70</f>
        <v>0</v>
      </c>
      <c r="G70" s="313">
        <f>SUMIFS(Adjustments!$G:$G,Adjustments!$H:$H,"2C",Adjustments!$I:$I,'Schedule 2C Adjustments'!$F$12,Adjustments!$J:$J,'Schedule 2C Adjustments'!$A70)</f>
        <v>0</v>
      </c>
      <c r="H70" s="309">
        <f t="shared" si="0"/>
        <v>0</v>
      </c>
      <c r="I70" s="68">
        <f>IFERROR(F70*'As-Filed Schedule 1'!$E$103,0)</f>
        <v>0</v>
      </c>
      <c r="J70" s="310">
        <f>IFERROR(H70*'Adjusted Schedule 1'!$E$104,0)</f>
        <v>0</v>
      </c>
      <c r="K70" s="68">
        <f t="shared" si="1"/>
        <v>0</v>
      </c>
      <c r="L70" s="310">
        <f t="shared" si="2"/>
        <v>0</v>
      </c>
      <c r="N70" s="117">
        <f>'As-Filed Schedule 2C'!J70</f>
        <v>0</v>
      </c>
      <c r="O70" s="313">
        <f>SUMIFS(Adjustments!$G:$G,Adjustments!$H:$H,"2C",Adjustments!$I:$I,'Schedule 2C Adjustments'!$N$12,Adjustments!$J:$J,'Schedule 2C Adjustments'!$A70)</f>
        <v>0</v>
      </c>
      <c r="P70" s="309">
        <f t="shared" si="3"/>
        <v>0</v>
      </c>
      <c r="Q70" s="68">
        <f>IFERROR(N70*'As-Filed Schedule 1'!$E$103,0)</f>
        <v>0</v>
      </c>
      <c r="R70" s="310">
        <f>IFERROR(P70*'Adjusted Schedule 1'!$E$104,0)</f>
        <v>0</v>
      </c>
      <c r="S70" s="68">
        <f t="shared" si="4"/>
        <v>0</v>
      </c>
      <c r="T70" s="310">
        <f t="shared" si="5"/>
        <v>0</v>
      </c>
      <c r="V70" s="120">
        <f>'As-Filed Schedule 2C'!N70</f>
        <v>0</v>
      </c>
      <c r="W70" s="313">
        <f>SUMIFS(Adjustments!$G:$G,Adjustments!$H:$H,"2C",Adjustments!$I:$I,'Schedule 2C Adjustments'!$V$12,Adjustments!$J:$J,'Schedule 2C Adjustments'!$A70)</f>
        <v>0</v>
      </c>
      <c r="X70" s="309">
        <f t="shared" si="6"/>
        <v>0</v>
      </c>
      <c r="Y70" s="120">
        <f>'As-Filed Schedule 2C'!O70</f>
        <v>0</v>
      </c>
      <c r="Z70" s="313">
        <f>SUMIFS(Adjustments!$G:$G,Adjustments!$H:$H,"2C",Adjustments!$I:$I,'Schedule 2C Adjustments'!$Y$12,Adjustments!$J:$J,'Schedule 2C Adjustments'!$A70)</f>
        <v>0</v>
      </c>
      <c r="AA70" s="309">
        <f t="shared" si="7"/>
        <v>0</v>
      </c>
    </row>
    <row r="71" spans="1:27" x14ac:dyDescent="0.35">
      <c r="A71" s="24">
        <v>57</v>
      </c>
      <c r="B71" s="507" t="str">
        <f>IF('As-Filed Schedule 2C'!B71:D71=0,"",'As-Filed Schedule 2C'!B71:D71)</f>
        <v/>
      </c>
      <c r="C71" s="507"/>
      <c r="D71" s="507"/>
      <c r="F71" s="117">
        <f>'As-Filed Schedule 2C'!F71</f>
        <v>0</v>
      </c>
      <c r="G71" s="313">
        <f>SUMIFS(Adjustments!$G:$G,Adjustments!$H:$H,"2C",Adjustments!$I:$I,'Schedule 2C Adjustments'!$F$12,Adjustments!$J:$J,'Schedule 2C Adjustments'!$A71)</f>
        <v>0</v>
      </c>
      <c r="H71" s="309">
        <f t="shared" si="0"/>
        <v>0</v>
      </c>
      <c r="I71" s="68">
        <f>IFERROR(F71*'As-Filed Schedule 1'!$E$103,0)</f>
        <v>0</v>
      </c>
      <c r="J71" s="310">
        <f>IFERROR(H71*'Adjusted Schedule 1'!$E$104,0)</f>
        <v>0</v>
      </c>
      <c r="K71" s="68">
        <f t="shared" si="1"/>
        <v>0</v>
      </c>
      <c r="L71" s="310">
        <f t="shared" si="2"/>
        <v>0</v>
      </c>
      <c r="N71" s="117">
        <f>'As-Filed Schedule 2C'!J71</f>
        <v>0</v>
      </c>
      <c r="O71" s="313">
        <f>SUMIFS(Adjustments!$G:$G,Adjustments!$H:$H,"2C",Adjustments!$I:$I,'Schedule 2C Adjustments'!$N$12,Adjustments!$J:$J,'Schedule 2C Adjustments'!$A71)</f>
        <v>0</v>
      </c>
      <c r="P71" s="309">
        <f t="shared" si="3"/>
        <v>0</v>
      </c>
      <c r="Q71" s="68">
        <f>IFERROR(N71*'As-Filed Schedule 1'!$E$103,0)</f>
        <v>0</v>
      </c>
      <c r="R71" s="310">
        <f>IFERROR(P71*'Adjusted Schedule 1'!$E$104,0)</f>
        <v>0</v>
      </c>
      <c r="S71" s="68">
        <f t="shared" si="4"/>
        <v>0</v>
      </c>
      <c r="T71" s="310">
        <f t="shared" si="5"/>
        <v>0</v>
      </c>
      <c r="V71" s="120">
        <f>'As-Filed Schedule 2C'!N71</f>
        <v>0</v>
      </c>
      <c r="W71" s="313">
        <f>SUMIFS(Adjustments!$G:$G,Adjustments!$H:$H,"2C",Adjustments!$I:$I,'Schedule 2C Adjustments'!$V$12,Adjustments!$J:$J,'Schedule 2C Adjustments'!$A71)</f>
        <v>0</v>
      </c>
      <c r="X71" s="309">
        <f t="shared" si="6"/>
        <v>0</v>
      </c>
      <c r="Y71" s="120">
        <f>'As-Filed Schedule 2C'!O71</f>
        <v>0</v>
      </c>
      <c r="Z71" s="313">
        <f>SUMIFS(Adjustments!$G:$G,Adjustments!$H:$H,"2C",Adjustments!$I:$I,'Schedule 2C Adjustments'!$Y$12,Adjustments!$J:$J,'Schedule 2C Adjustments'!$A71)</f>
        <v>0</v>
      </c>
      <c r="AA71" s="309">
        <f t="shared" si="7"/>
        <v>0</v>
      </c>
    </row>
    <row r="72" spans="1:27" x14ac:dyDescent="0.35">
      <c r="A72" s="24">
        <v>58</v>
      </c>
      <c r="B72" s="507" t="str">
        <f>IF('As-Filed Schedule 2C'!B72:D72=0,"",'As-Filed Schedule 2C'!B72:D72)</f>
        <v/>
      </c>
      <c r="C72" s="507"/>
      <c r="D72" s="507"/>
      <c r="F72" s="117">
        <f>'As-Filed Schedule 2C'!F72</f>
        <v>0</v>
      </c>
      <c r="G72" s="313">
        <f>SUMIFS(Adjustments!$G:$G,Adjustments!$H:$H,"2C",Adjustments!$I:$I,'Schedule 2C Adjustments'!$F$12,Adjustments!$J:$J,'Schedule 2C Adjustments'!$A72)</f>
        <v>0</v>
      </c>
      <c r="H72" s="309">
        <f t="shared" si="0"/>
        <v>0</v>
      </c>
      <c r="I72" s="68">
        <f>IFERROR(F72*'As-Filed Schedule 1'!$E$103,0)</f>
        <v>0</v>
      </c>
      <c r="J72" s="310">
        <f>IFERROR(H72*'Adjusted Schedule 1'!$E$104,0)</f>
        <v>0</v>
      </c>
      <c r="K72" s="68">
        <f t="shared" si="1"/>
        <v>0</v>
      </c>
      <c r="L72" s="310">
        <f t="shared" si="2"/>
        <v>0</v>
      </c>
      <c r="N72" s="117">
        <f>'As-Filed Schedule 2C'!J72</f>
        <v>0</v>
      </c>
      <c r="O72" s="313">
        <f>SUMIFS(Adjustments!$G:$G,Adjustments!$H:$H,"2C",Adjustments!$I:$I,'Schedule 2C Adjustments'!$N$12,Adjustments!$J:$J,'Schedule 2C Adjustments'!$A72)</f>
        <v>0</v>
      </c>
      <c r="P72" s="309">
        <f t="shared" si="3"/>
        <v>0</v>
      </c>
      <c r="Q72" s="68">
        <f>IFERROR(N72*'As-Filed Schedule 1'!$E$103,0)</f>
        <v>0</v>
      </c>
      <c r="R72" s="310">
        <f>IFERROR(P72*'Adjusted Schedule 1'!$E$104,0)</f>
        <v>0</v>
      </c>
      <c r="S72" s="68">
        <f t="shared" si="4"/>
        <v>0</v>
      </c>
      <c r="T72" s="310">
        <f t="shared" si="5"/>
        <v>0</v>
      </c>
      <c r="V72" s="120">
        <f>'As-Filed Schedule 2C'!N72</f>
        <v>0</v>
      </c>
      <c r="W72" s="313">
        <f>SUMIFS(Adjustments!$G:$G,Adjustments!$H:$H,"2C",Adjustments!$I:$I,'Schedule 2C Adjustments'!$V$12,Adjustments!$J:$J,'Schedule 2C Adjustments'!$A72)</f>
        <v>0</v>
      </c>
      <c r="X72" s="309">
        <f t="shared" si="6"/>
        <v>0</v>
      </c>
      <c r="Y72" s="120">
        <f>'As-Filed Schedule 2C'!O72</f>
        <v>0</v>
      </c>
      <c r="Z72" s="313">
        <f>SUMIFS(Adjustments!$G:$G,Adjustments!$H:$H,"2C",Adjustments!$I:$I,'Schedule 2C Adjustments'!$Y$12,Adjustments!$J:$J,'Schedule 2C Adjustments'!$A72)</f>
        <v>0</v>
      </c>
      <c r="AA72" s="309">
        <f t="shared" si="7"/>
        <v>0</v>
      </c>
    </row>
    <row r="73" spans="1:27" x14ac:dyDescent="0.35">
      <c r="A73" s="24">
        <v>59</v>
      </c>
      <c r="F73" s="18">
        <f>SUM(F15:F72)</f>
        <v>15089308.044402834</v>
      </c>
      <c r="G73" s="18">
        <f t="shared" ref="G73:L73" si="8">SUM(G15:G72)</f>
        <v>0</v>
      </c>
      <c r="H73" s="18">
        <f t="shared" si="8"/>
        <v>15089308.044402834</v>
      </c>
      <c r="I73" s="18">
        <f t="shared" si="8"/>
        <v>6789429.3244195571</v>
      </c>
      <c r="J73" s="311">
        <f t="shared" si="8"/>
        <v>6789429.3244195571</v>
      </c>
      <c r="K73" s="18">
        <f t="shared" si="8"/>
        <v>21878737.368822396</v>
      </c>
      <c r="L73" s="311">
        <f t="shared" si="8"/>
        <v>21878737.368822396</v>
      </c>
      <c r="N73" s="18">
        <f>SUM(N15:N72)</f>
        <v>1243017.581092068</v>
      </c>
      <c r="O73" s="18">
        <f t="shared" ref="O73:T73" si="9">SUM(O15:O72)</f>
        <v>0</v>
      </c>
      <c r="P73" s="311">
        <f t="shared" si="9"/>
        <v>1243017.581092068</v>
      </c>
      <c r="Q73" s="18">
        <f t="shared" si="9"/>
        <v>559295.36271651764</v>
      </c>
      <c r="R73" s="311">
        <f t="shared" si="9"/>
        <v>559295.36271651764</v>
      </c>
      <c r="S73" s="18">
        <f t="shared" si="9"/>
        <v>1802312.9438085854</v>
      </c>
      <c r="T73" s="18">
        <f t="shared" si="9"/>
        <v>1802312.9438085854</v>
      </c>
      <c r="W73"/>
      <c r="X73"/>
      <c r="Y73" s="83" t="s">
        <v>313</v>
      </c>
      <c r="Z73"/>
      <c r="AA73"/>
    </row>
    <row r="74" spans="1:27" ht="15" thickBot="1" x14ac:dyDescent="0.4">
      <c r="G74"/>
      <c r="H74"/>
      <c r="J74" s="37" t="s">
        <v>257</v>
      </c>
      <c r="L74" s="324" t="s">
        <v>257</v>
      </c>
      <c r="O74"/>
      <c r="P74"/>
      <c r="R74" s="37" t="s">
        <v>258</v>
      </c>
      <c r="T74" s="324" t="s">
        <v>258</v>
      </c>
      <c r="W74"/>
      <c r="X74"/>
    </row>
    <row r="75" spans="1:27" s="72" customFormat="1" ht="16" thickBot="1" x14ac:dyDescent="0.4">
      <c r="A75" s="24">
        <v>60</v>
      </c>
      <c r="B75" s="73" t="s">
        <v>461</v>
      </c>
      <c r="F75" s="75">
        <f>K73+S73</f>
        <v>23681050.312630981</v>
      </c>
      <c r="G75"/>
      <c r="H75" s="334">
        <f>L73+T73</f>
        <v>23681050.312630981</v>
      </c>
      <c r="I75" s="74"/>
      <c r="J75"/>
      <c r="K75" s="74"/>
      <c r="L75" s="325"/>
      <c r="M75" s="74"/>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08984375" defaultRowHeight="14.5" x14ac:dyDescent="0.35"/>
  <cols>
    <col min="1" max="1" width="9.54296875" customWidth="1"/>
    <col min="2" max="2" width="16" customWidth="1"/>
    <col min="3" max="3" width="19.453125" customWidth="1"/>
    <col min="4" max="4" width="15.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753</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628</v>
      </c>
      <c r="C8" s="1"/>
      <c r="F8" s="119" t="str">
        <f>'As-Filed Schedule 2D'!F8</f>
        <v>Yes</v>
      </c>
      <c r="G8" s="41" t="s">
        <v>259</v>
      </c>
    </row>
    <row r="10" spans="1:27" x14ac:dyDescent="0.35">
      <c r="A10" s="1" t="s">
        <v>254</v>
      </c>
      <c r="B10" s="1" t="s">
        <v>256</v>
      </c>
      <c r="C10" s="1"/>
    </row>
    <row r="11" spans="1:27" x14ac:dyDescent="0.35">
      <c r="B11" s="333" t="s">
        <v>598</v>
      </c>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2D'!B15:D15=0,"",'As-Filed Schedule 2D'!B15:D15)</f>
        <v>2040 - WRAP</v>
      </c>
      <c r="C15" s="507"/>
      <c r="D15" s="507"/>
      <c r="F15" s="117">
        <f>'As-Filed Schedule 2D'!F15</f>
        <v>636452.86971926864</v>
      </c>
      <c r="G15" s="455">
        <f>SUMIFS(Adjustments!$G:$G,Adjustments!$H:$H,"2D",Adjustments!$I:$I,'Schedule 2D Adjustments'!$F$12,Adjustments!$J:$J,'Schedule 2D Adjustments'!$A15)</f>
        <v>0</v>
      </c>
      <c r="H15" s="309">
        <f>SUM(F15:G15)</f>
        <v>636452.86971926864</v>
      </c>
      <c r="I15" s="68">
        <f>IFERROR(F15*'As-Filed Schedule 1'!$E$103,0)</f>
        <v>286371.76499858475</v>
      </c>
      <c r="J15" s="310">
        <f>IFERROR(H15*'Adjusted Schedule 1'!$E$104,0)</f>
        <v>286371.76499858475</v>
      </c>
      <c r="K15" s="68">
        <f>SUM(F15,I15)</f>
        <v>922824.63471785339</v>
      </c>
      <c r="L15" s="310">
        <f>SUM(H15,J15)</f>
        <v>922824.63471785339</v>
      </c>
      <c r="N15" s="117">
        <f>'As-Filed Schedule 2D'!J15</f>
        <v>0</v>
      </c>
      <c r="O15" s="313">
        <f>SUMIFS(Adjustments!$G:$G,Adjustments!$H:$H,"2D",Adjustments!$I:$I,'Schedule 2D Adjustments'!$N$12,Adjustments!$J:$J,'Schedule 2D Adjustments'!$A15)</f>
        <v>0</v>
      </c>
      <c r="P15" s="309">
        <f>SUM(N15:O15)</f>
        <v>0</v>
      </c>
      <c r="Q15" s="68">
        <f>IFERROR(N15*'As-Filed Schedule 1'!$E$103,0)</f>
        <v>0</v>
      </c>
      <c r="R15" s="68">
        <f>IFERROR(P15*'Adjusted Schedule 1'!$E$104,0)</f>
        <v>0</v>
      </c>
      <c r="S15" s="68">
        <f>SUM(N15,Q15)</f>
        <v>0</v>
      </c>
      <c r="T15" s="310">
        <f>SUM(P15,R15)</f>
        <v>0</v>
      </c>
      <c r="V15" s="120">
        <f>'As-Filed Schedule 2D'!N15</f>
        <v>4.66</v>
      </c>
      <c r="W15" s="313">
        <f>SUMIFS(Adjustments!$G:$G,Adjustments!$H:$H,"2D",Adjustments!$I:$I,'Schedule 2D Adjustments'!$V$12,Adjustments!$J:$J,'Schedule 2D Adjustments'!$A15)</f>
        <v>0</v>
      </c>
      <c r="X15" s="309">
        <f>SUM(V15:W15)</f>
        <v>4.66</v>
      </c>
      <c r="Y15" s="120">
        <f>'As-Filed Schedule 2D'!O15</f>
        <v>121</v>
      </c>
      <c r="Z15" s="313">
        <f>SUMIFS(Adjustments!$G:$G,Adjustments!$H:$H,"2D",Adjustments!$I:$I,'Schedule 2D Adjustments'!$Y$12,Adjustments!$J:$J,'Schedule 2D Adjustments'!$A15)</f>
        <v>0</v>
      </c>
      <c r="AA15" s="309">
        <f>SUM(Y15:Z15)</f>
        <v>121</v>
      </c>
    </row>
    <row r="16" spans="1:27" x14ac:dyDescent="0.35">
      <c r="A16" s="24">
        <v>2</v>
      </c>
      <c r="B16" s="507" t="str">
        <f>IF('As-Filed Schedule 2D'!B16:D16=0,"",'As-Filed Schedule 2D'!B16:D16)</f>
        <v>2562 - COMB OBHS</v>
      </c>
      <c r="C16" s="507"/>
      <c r="D16" s="507"/>
      <c r="F16" s="117">
        <f>'As-Filed Schedule 2D'!F16</f>
        <v>513586.63763279462</v>
      </c>
      <c r="G16" s="455">
        <f>SUMIFS(Adjustments!$G:$G,Adjustments!$H:$H,"2D",Adjustments!$I:$I,'Schedule 2D Adjustments'!$F$12,Adjustments!$J:$J,'Schedule 2D Adjustments'!$A16)</f>
        <v>0</v>
      </c>
      <c r="H16" s="309">
        <f t="shared" ref="H16:H72" si="0">SUM(F16:G16)</f>
        <v>513586.63763279462</v>
      </c>
      <c r="I16" s="68">
        <f>IFERROR(F16*'As-Filed Schedule 1'!$E$103,0)</f>
        <v>231088.14320134284</v>
      </c>
      <c r="J16" s="310">
        <f>IFERROR(H16*'Adjusted Schedule 1'!$E$104,0)</f>
        <v>231088.14320134284</v>
      </c>
      <c r="K16" s="68">
        <f t="shared" ref="K16:K72" si="1">SUM(F16,I16)</f>
        <v>744674.78083413746</v>
      </c>
      <c r="L16" s="310">
        <f t="shared" ref="L16:L72" si="2">SUM(H16,J16)</f>
        <v>744674.78083413746</v>
      </c>
      <c r="N16" s="117">
        <f>'As-Filed Schedule 2D'!J16</f>
        <v>0</v>
      </c>
      <c r="O16" s="313">
        <f>SUMIFS(Adjustments!$G:$G,Adjustments!$H:$H,"2D",Adjustments!$I:$I,'Schedule 2D Adjustments'!$N$12,Adjustments!$J:$J,'Schedule 2D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2D'!N16</f>
        <v>3.6666666666666665</v>
      </c>
      <c r="W16" s="313">
        <f>SUMIFS(Adjustments!$G:$G,Adjustments!$H:$H,"2D",Adjustments!$I:$I,'Schedule 2D Adjustments'!$V$12,Adjustments!$J:$J,'Schedule 2D Adjustments'!$A16)</f>
        <v>0</v>
      </c>
      <c r="X16" s="309">
        <f t="shared" ref="X16:X72" si="6">SUM(V16:W16)</f>
        <v>3.6666666666666665</v>
      </c>
      <c r="Y16" s="120">
        <f>'As-Filed Schedule 2D'!O16</f>
        <v>541</v>
      </c>
      <c r="Z16" s="313">
        <f>SUMIFS(Adjustments!$G:$G,Adjustments!$H:$H,"2D",Adjustments!$I:$I,'Schedule 2D Adjustments'!$Y$12,Adjustments!$J:$J,'Schedule 2D Adjustments'!$A16)</f>
        <v>0</v>
      </c>
      <c r="AA16" s="309">
        <f t="shared" ref="AA16:AA72" si="7">SUM(Y16:Z16)</f>
        <v>541</v>
      </c>
    </row>
    <row r="17" spans="1:27" x14ac:dyDescent="0.35">
      <c r="A17" s="24">
        <v>3</v>
      </c>
      <c r="B17" s="507" t="str">
        <f>IF('As-Filed Schedule 2D'!B17:D17=0,"",'As-Filed Schedule 2D'!B17:D17)</f>
        <v>2564 - COMB ASSERTIVE COMMUNITY TREATMENT (ACT)</v>
      </c>
      <c r="C17" s="507"/>
      <c r="D17" s="507"/>
      <c r="F17" s="117">
        <f>'As-Filed Schedule 2D'!F17</f>
        <v>1344562.2427997645</v>
      </c>
      <c r="G17" s="313">
        <f>SUMIFS(Adjustments!$G:$G,Adjustments!$H:$H,"2D",Adjustments!$I:$I,'Schedule 2D Adjustments'!$F$12,Adjustments!$J:$J,'Schedule 2D Adjustments'!$A17)</f>
        <v>0</v>
      </c>
      <c r="H17" s="309">
        <f t="shared" si="0"/>
        <v>1344562.2427997645</v>
      </c>
      <c r="I17" s="68">
        <f>IFERROR(F17*'As-Filed Schedule 1'!$E$103,0)</f>
        <v>604985.35074696504</v>
      </c>
      <c r="J17" s="310">
        <f>IFERROR(H17*'Adjusted Schedule 1'!$E$104,0)</f>
        <v>604985.35074696504</v>
      </c>
      <c r="K17" s="68">
        <f t="shared" si="1"/>
        <v>1949547.5935467295</v>
      </c>
      <c r="L17" s="310">
        <f t="shared" si="2"/>
        <v>1949547.5935467295</v>
      </c>
      <c r="N17" s="117">
        <f>'As-Filed Schedule 2D'!J17</f>
        <v>268.72000000000003</v>
      </c>
      <c r="O17" s="313">
        <f>SUMIFS(Adjustments!$G:$G,Adjustments!$H:$H,"2D",Adjustments!$I:$I,'Schedule 2D Adjustments'!$N$12,Adjustments!$J:$J,'Schedule 2D Adjustments'!$A17)</f>
        <v>0</v>
      </c>
      <c r="P17" s="309">
        <f t="shared" si="3"/>
        <v>268.72000000000003</v>
      </c>
      <c r="Q17" s="68">
        <f>IFERROR(N17*'As-Filed Schedule 1'!$E$103,0)</f>
        <v>120.91047798144592</v>
      </c>
      <c r="R17" s="68">
        <f>IFERROR(P17*'Adjusted Schedule 1'!$E$104,0)</f>
        <v>120.91047798144592</v>
      </c>
      <c r="S17" s="68">
        <f t="shared" si="4"/>
        <v>389.63047798144595</v>
      </c>
      <c r="T17" s="310">
        <f t="shared" si="5"/>
        <v>389.63047798144595</v>
      </c>
      <c r="V17" s="120">
        <f>'As-Filed Schedule 2D'!N17</f>
        <v>9.7083333333333339</v>
      </c>
      <c r="W17" s="313">
        <f>SUMIFS(Adjustments!$G:$G,Adjustments!$H:$H,"2D",Adjustments!$I:$I,'Schedule 2D Adjustments'!$V$12,Adjustments!$J:$J,'Schedule 2D Adjustments'!$A17)</f>
        <v>0</v>
      </c>
      <c r="X17" s="309">
        <f t="shared" si="6"/>
        <v>9.7083333333333339</v>
      </c>
      <c r="Y17" s="120">
        <f>'As-Filed Schedule 2D'!O17</f>
        <v>96</v>
      </c>
      <c r="Z17" s="313">
        <f>SUMIFS(Adjustments!$G:$G,Adjustments!$H:$H,"2D",Adjustments!$I:$I,'Schedule 2D Adjustments'!$Y$12,Adjustments!$J:$J,'Schedule 2D Adjustments'!$A17)</f>
        <v>0</v>
      </c>
      <c r="AA17" s="309">
        <f t="shared" si="7"/>
        <v>96</v>
      </c>
    </row>
    <row r="18" spans="1:27" x14ac:dyDescent="0.35">
      <c r="A18" s="24">
        <v>4</v>
      </c>
      <c r="B18" s="507" t="str">
        <f>IF('As-Filed Schedule 2D'!B18:D18=0,"",'As-Filed Schedule 2D'!B18:D18)</f>
        <v>2570 - COMB ASCENT</v>
      </c>
      <c r="C18" s="507"/>
      <c r="D18" s="507"/>
      <c r="F18" s="117">
        <f>'As-Filed Schedule 2D'!F18</f>
        <v>345009.79153986258</v>
      </c>
      <c r="G18" s="313">
        <f>SUMIFS(Adjustments!$G:$G,Adjustments!$H:$H,"2D",Adjustments!$I:$I,'Schedule 2D Adjustments'!$F$12,Adjustments!$J:$J,'Schedule 2D Adjustments'!$A18)</f>
        <v>0</v>
      </c>
      <c r="H18" s="309">
        <f t="shared" si="0"/>
        <v>345009.79153986258</v>
      </c>
      <c r="I18" s="68">
        <f>IFERROR(F18*'As-Filed Schedule 1'!$E$103,0)</f>
        <v>155237.04526408081</v>
      </c>
      <c r="J18" s="310">
        <f>IFERROR(H18*'Adjusted Schedule 1'!$E$104,0)</f>
        <v>155237.04526408081</v>
      </c>
      <c r="K18" s="68">
        <f t="shared" si="1"/>
        <v>500246.83680394338</v>
      </c>
      <c r="L18" s="310">
        <f t="shared" si="2"/>
        <v>500246.83680394338</v>
      </c>
      <c r="N18" s="117">
        <f>'As-Filed Schedule 2D'!J18</f>
        <v>116388.84533874881</v>
      </c>
      <c r="O18" s="313">
        <f>SUMIFS(Adjustments!$G:$G,Adjustments!$H:$H,"2D",Adjustments!$I:$I,'Schedule 2D Adjustments'!$N$12,Adjustments!$J:$J,'Schedule 2D Adjustments'!$A18)</f>
        <v>0</v>
      </c>
      <c r="P18" s="309">
        <f t="shared" si="3"/>
        <v>116388.84533874881</v>
      </c>
      <c r="Q18" s="68">
        <f>IFERROR(N18*'As-Filed Schedule 1'!$E$103,0)</f>
        <v>52369.12370354533</v>
      </c>
      <c r="R18" s="68">
        <f>IFERROR(P18*'Adjusted Schedule 1'!$E$104,0)</f>
        <v>52369.12370354533</v>
      </c>
      <c r="S18" s="68">
        <f t="shared" si="4"/>
        <v>168757.96904229413</v>
      </c>
      <c r="T18" s="310">
        <f t="shared" si="5"/>
        <v>168757.96904229413</v>
      </c>
      <c r="V18" s="120">
        <f>'As-Filed Schedule 2D'!N18</f>
        <v>3.3333333333333344</v>
      </c>
      <c r="W18" s="313">
        <f>SUMIFS(Adjustments!$G:$G,Adjustments!$H:$H,"2D",Adjustments!$I:$I,'Schedule 2D Adjustments'!$V$12,Adjustments!$J:$J,'Schedule 2D Adjustments'!$A18)</f>
        <v>0</v>
      </c>
      <c r="X18" s="309">
        <f t="shared" si="6"/>
        <v>3.3333333333333344</v>
      </c>
      <c r="Y18" s="120">
        <f>'As-Filed Schedule 2D'!O18</f>
        <v>33</v>
      </c>
      <c r="Z18" s="313">
        <f>SUMIFS(Adjustments!$G:$G,Adjustments!$H:$H,"2D",Adjustments!$I:$I,'Schedule 2D Adjustments'!$Y$12,Adjustments!$J:$J,'Schedule 2D Adjustments'!$A18)</f>
        <v>0</v>
      </c>
      <c r="AA18" s="309">
        <f t="shared" si="7"/>
        <v>33</v>
      </c>
    </row>
    <row r="19" spans="1:27" x14ac:dyDescent="0.35">
      <c r="A19" s="24">
        <v>5</v>
      </c>
      <c r="B19" s="507" t="str">
        <f>IF('As-Filed Schedule 2D'!B19:D19=0,"",'As-Filed Schedule 2D'!B19:D19)</f>
        <v>2577 - COMB CCHA HIOP</v>
      </c>
      <c r="C19" s="507"/>
      <c r="D19" s="507"/>
      <c r="F19" s="117">
        <f>'As-Filed Schedule 2D'!F19</f>
        <v>20646.32502372381</v>
      </c>
      <c r="G19" s="313">
        <f>SUMIFS(Adjustments!$G:$G,Adjustments!$H:$H,"2D",Adjustments!$I:$I,'Schedule 2D Adjustments'!$F$12,Adjustments!$J:$J,'Schedule 2D Adjustments'!$A19)</f>
        <v>0</v>
      </c>
      <c r="H19" s="309">
        <f t="shared" si="0"/>
        <v>20646.32502372381</v>
      </c>
      <c r="I19" s="68">
        <f>IFERROR(F19*'As-Filed Schedule 1'!$E$103,0)</f>
        <v>9289.8073354373828</v>
      </c>
      <c r="J19" s="310">
        <f>IFERROR(H19*'Adjusted Schedule 1'!$E$104,0)</f>
        <v>9289.8073354373828</v>
      </c>
      <c r="K19" s="68">
        <f t="shared" si="1"/>
        <v>29936.132359161194</v>
      </c>
      <c r="L19" s="310">
        <f>SUM(H19,J19)</f>
        <v>29936.132359161194</v>
      </c>
      <c r="N19" s="117">
        <f>'As-Filed Schedule 2D'!J19</f>
        <v>99861.387496095078</v>
      </c>
      <c r="O19" s="313">
        <f>SUMIFS(Adjustments!$G:$G,Adjustments!$H:$H,"2D",Adjustments!$I:$I,'Schedule 2D Adjustments'!$N$12,Adjustments!$J:$J,'Schedule 2D Adjustments'!$A19)</f>
        <v>0</v>
      </c>
      <c r="P19" s="309">
        <f t="shared" si="3"/>
        <v>99861.387496095078</v>
      </c>
      <c r="Q19" s="68">
        <f>IFERROR(N19*'As-Filed Schedule 1'!$E$103,0)</f>
        <v>44932.599337761392</v>
      </c>
      <c r="R19" s="68">
        <f>IFERROR(P19*'Adjusted Schedule 1'!$E$104,0)</f>
        <v>44932.599337761392</v>
      </c>
      <c r="S19" s="68">
        <f t="shared" si="4"/>
        <v>144793.98683385647</v>
      </c>
      <c r="T19" s="310">
        <f t="shared" si="5"/>
        <v>144793.98683385647</v>
      </c>
      <c r="V19" s="120">
        <f>'As-Filed Schedule 2D'!N19</f>
        <v>0.42</v>
      </c>
      <c r="W19" s="313">
        <f>SUMIFS(Adjustments!$G:$G,Adjustments!$H:$H,"2D",Adjustments!$I:$I,'Schedule 2D Adjustments'!$V$12,Adjustments!$J:$J,'Schedule 2D Adjustments'!$A19)</f>
        <v>0</v>
      </c>
      <c r="X19" s="309">
        <f t="shared" si="6"/>
        <v>0.42</v>
      </c>
      <c r="Y19" s="120">
        <f>'As-Filed Schedule 2D'!O19</f>
        <v>18</v>
      </c>
      <c r="Z19" s="313">
        <f>SUMIFS(Adjustments!$G:$G,Adjustments!$H:$H,"2D",Adjustments!$I:$I,'Schedule 2D Adjustments'!$Y$12,Adjustments!$J:$J,'Schedule 2D Adjustments'!$A19)</f>
        <v>0</v>
      </c>
      <c r="AA19" s="309">
        <f t="shared" si="7"/>
        <v>18</v>
      </c>
    </row>
    <row r="20" spans="1:27" x14ac:dyDescent="0.35">
      <c r="A20" s="24">
        <v>6</v>
      </c>
      <c r="B20" s="507" t="str">
        <f>IF('As-Filed Schedule 2D'!B20:D20=0,"",'As-Filed Schedule 2D'!B20:D20)</f>
        <v xml:space="preserve">5041 - ADULT IMH IOP      </v>
      </c>
      <c r="C20" s="507"/>
      <c r="D20" s="507"/>
      <c r="F20" s="117">
        <f>'As-Filed Schedule 2D'!F20</f>
        <v>147126.1369880136</v>
      </c>
      <c r="G20" s="313">
        <f>SUMIFS(Adjustments!$G:$G,Adjustments!$H:$H,"2D",Adjustments!$I:$I,'Schedule 2D Adjustments'!$F$12,Adjustments!$J:$J,'Schedule 2D Adjustments'!$A20)</f>
        <v>0</v>
      </c>
      <c r="H20" s="309">
        <f t="shared" si="0"/>
        <v>147126.1369880136</v>
      </c>
      <c r="I20" s="68">
        <f>IFERROR(F20*'As-Filed Schedule 1'!$E$103,0)</f>
        <v>66199.35824197832</v>
      </c>
      <c r="J20" s="310">
        <f>IFERROR(H20*'Adjusted Schedule 1'!$E$104,0)</f>
        <v>66199.35824197832</v>
      </c>
      <c r="K20" s="68">
        <f>SUM(F20,I20)</f>
        <v>213325.49522999191</v>
      </c>
      <c r="L20" s="310">
        <f t="shared" si="2"/>
        <v>213325.49522999191</v>
      </c>
      <c r="N20" s="117">
        <f>'As-Filed Schedule 2D'!J20</f>
        <v>0</v>
      </c>
      <c r="O20" s="313">
        <f>SUMIFS(Adjustments!$G:$G,Adjustments!$H:$H,"2D",Adjustments!$I:$I,'Schedule 2D Adjustments'!$N$12,Adjustments!$J:$J,'Schedule 2D Adjustments'!$A20)</f>
        <v>0</v>
      </c>
      <c r="P20" s="309">
        <f t="shared" si="3"/>
        <v>0</v>
      </c>
      <c r="Q20" s="68">
        <f>IFERROR(N20*'As-Filed Schedule 1'!$E$103,0)</f>
        <v>0</v>
      </c>
      <c r="R20" s="68">
        <f>IFERROR(P20*'Adjusted Schedule 1'!$E$104,0)</f>
        <v>0</v>
      </c>
      <c r="S20" s="68">
        <f t="shared" si="4"/>
        <v>0</v>
      </c>
      <c r="T20" s="310">
        <f t="shared" si="5"/>
        <v>0</v>
      </c>
      <c r="V20" s="120">
        <f>'As-Filed Schedule 2D'!N20</f>
        <v>1.5166666666666666</v>
      </c>
      <c r="W20" s="313">
        <f>SUMIFS(Adjustments!$G:$G,Adjustments!$H:$H,"2D",Adjustments!$I:$I,'Schedule 2D Adjustments'!$V$12,Adjustments!$J:$J,'Schedule 2D Adjustments'!$A20)</f>
        <v>0</v>
      </c>
      <c r="X20" s="309">
        <f t="shared" si="6"/>
        <v>1.5166666666666666</v>
      </c>
      <c r="Y20" s="120">
        <f>'As-Filed Schedule 2D'!O20</f>
        <v>99</v>
      </c>
      <c r="Z20" s="313">
        <f>SUMIFS(Adjustments!$G:$G,Adjustments!$H:$H,"2D",Adjustments!$I:$I,'Schedule 2D Adjustments'!$Y$12,Adjustments!$J:$J,'Schedule 2D Adjustments'!$A20)</f>
        <v>0</v>
      </c>
      <c r="AA20" s="309">
        <f t="shared" si="7"/>
        <v>99</v>
      </c>
    </row>
    <row r="21" spans="1:27" x14ac:dyDescent="0.35">
      <c r="A21" s="24">
        <v>7</v>
      </c>
      <c r="B21" s="507" t="str">
        <f>IF('As-Filed Schedule 2D'!B21:D21=0,"",'As-Filed Schedule 2D'!B21:D21)</f>
        <v>6041 - ADOLESCENT IOP</v>
      </c>
      <c r="C21" s="507"/>
      <c r="D21" s="507"/>
      <c r="F21" s="117">
        <f>'As-Filed Schedule 2D'!F21</f>
        <v>806342.43083753006</v>
      </c>
      <c r="G21" s="313">
        <f>SUMIFS(Adjustments!$G:$G,Adjustments!$H:$H,"2D",Adjustments!$I:$I,'Schedule 2D Adjustments'!$F$12,Adjustments!$J:$J,'Schedule 2D Adjustments'!$A21)</f>
        <v>0</v>
      </c>
      <c r="H21" s="309">
        <f t="shared" si="0"/>
        <v>806342.43083753006</v>
      </c>
      <c r="I21" s="68">
        <f>IFERROR(F21*'As-Filed Schedule 1'!$E$103,0)</f>
        <v>362813.5186412874</v>
      </c>
      <c r="J21" s="310">
        <f>IFERROR(H21*'Adjusted Schedule 1'!$E$104,0)</f>
        <v>362813.5186412874</v>
      </c>
      <c r="K21" s="68">
        <f t="shared" si="1"/>
        <v>1169155.9494788174</v>
      </c>
      <c r="L21" s="310">
        <f t="shared" si="2"/>
        <v>1169155.9494788174</v>
      </c>
      <c r="N21" s="117">
        <f>'As-Filed Schedule 2D'!J21</f>
        <v>0</v>
      </c>
      <c r="O21" s="313">
        <f>SUMIFS(Adjustments!$G:$G,Adjustments!$H:$H,"2D",Adjustments!$I:$I,'Schedule 2D Adjustments'!$N$12,Adjustments!$J:$J,'Schedule 2D Adjustments'!$A21)</f>
        <v>0</v>
      </c>
      <c r="P21" s="309">
        <f t="shared" si="3"/>
        <v>0</v>
      </c>
      <c r="Q21" s="68">
        <f>IFERROR(N21*'As-Filed Schedule 1'!$E$103,0)</f>
        <v>0</v>
      </c>
      <c r="R21" s="68">
        <f>IFERROR(P21*'Adjusted Schedule 1'!$E$104,0)</f>
        <v>0</v>
      </c>
      <c r="S21" s="68">
        <f>SUM(N21,Q21)</f>
        <v>0</v>
      </c>
      <c r="T21" s="310">
        <f>SUM(P21,R21)</f>
        <v>0</v>
      </c>
      <c r="V21" s="120">
        <f>'As-Filed Schedule 2D'!N21</f>
        <v>5.99</v>
      </c>
      <c r="W21" s="313">
        <f>SUMIFS(Adjustments!$G:$G,Adjustments!$H:$H,"2D",Adjustments!$I:$I,'Schedule 2D Adjustments'!$V$12,Adjustments!$J:$J,'Schedule 2D Adjustments'!$A21)</f>
        <v>0</v>
      </c>
      <c r="X21" s="309">
        <f t="shared" si="6"/>
        <v>5.99</v>
      </c>
      <c r="Y21" s="120">
        <f>'As-Filed Schedule 2D'!O21</f>
        <v>224</v>
      </c>
      <c r="Z21" s="313">
        <f>SUMIFS(Adjustments!$G:$G,Adjustments!$H:$H,"2D",Adjustments!$I:$I,'Schedule 2D Adjustments'!$Y$12,Adjustments!$J:$J,'Schedule 2D Adjustments'!$A21)</f>
        <v>0</v>
      </c>
      <c r="AA21" s="309">
        <f t="shared" si="7"/>
        <v>224</v>
      </c>
    </row>
    <row r="22" spans="1:27" x14ac:dyDescent="0.35">
      <c r="A22" s="24">
        <v>8</v>
      </c>
      <c r="B22" s="507" t="str">
        <f>IF('As-Filed Schedule 2D'!B22:D22=0,"",'As-Filed Schedule 2D'!B22:D22)</f>
        <v/>
      </c>
      <c r="C22" s="507"/>
      <c r="D22" s="507"/>
      <c r="F22" s="117">
        <f>'As-Filed Schedule 2D'!F22</f>
        <v>0</v>
      </c>
      <c r="G22" s="313">
        <f>SUMIFS(Adjustments!$G:$G,Adjustments!$H:$H,"2D",Adjustments!$I:$I,'Schedule 2D Adjustments'!$F$12,Adjustments!$J:$J,'Schedule 2D Adjustments'!$A22)</f>
        <v>0</v>
      </c>
      <c r="H22" s="309">
        <f t="shared" si="0"/>
        <v>0</v>
      </c>
      <c r="I22" s="68">
        <f>IFERROR(F22*'As-Filed Schedule 1'!$E$103,0)</f>
        <v>0</v>
      </c>
      <c r="J22" s="310">
        <f>IFERROR(H22*'Adjusted Schedule 1'!$E$104,0)</f>
        <v>0</v>
      </c>
      <c r="K22" s="68">
        <f t="shared" si="1"/>
        <v>0</v>
      </c>
      <c r="L22" s="310">
        <f t="shared" si="2"/>
        <v>0</v>
      </c>
      <c r="N22" s="117">
        <f>'As-Filed Schedule 2D'!J22</f>
        <v>0</v>
      </c>
      <c r="O22" s="313">
        <f>SUMIFS(Adjustments!$G:$G,Adjustments!$H:$H,"2D",Adjustments!$I:$I,'Schedule 2D Adjustments'!$N$12,Adjustments!$J:$J,'Schedule 2D Adjustments'!$A22)</f>
        <v>0</v>
      </c>
      <c r="P22" s="309">
        <f t="shared" si="3"/>
        <v>0</v>
      </c>
      <c r="Q22" s="68">
        <f>IFERROR(N22*'As-Filed Schedule 1'!$E$103,0)</f>
        <v>0</v>
      </c>
      <c r="R22" s="68">
        <f>IFERROR(P22*'Adjusted Schedule 1'!$E$104,0)</f>
        <v>0</v>
      </c>
      <c r="S22" s="68">
        <f t="shared" si="4"/>
        <v>0</v>
      </c>
      <c r="T22" s="310">
        <f t="shared" si="5"/>
        <v>0</v>
      </c>
      <c r="V22" s="120">
        <f>'As-Filed Schedule 2D'!N22</f>
        <v>0</v>
      </c>
      <c r="W22" s="313">
        <f>SUMIFS(Adjustments!$G:$G,Adjustments!$H:$H,"2D",Adjustments!$I:$I,'Schedule 2D Adjustments'!$V$12,Adjustments!$J:$J,'Schedule 2D Adjustments'!$A22)</f>
        <v>0</v>
      </c>
      <c r="X22" s="309">
        <f t="shared" si="6"/>
        <v>0</v>
      </c>
      <c r="Y22" s="120">
        <f>'As-Filed Schedule 2D'!O22</f>
        <v>0</v>
      </c>
      <c r="Z22" s="313">
        <f>SUMIFS(Adjustments!$G:$G,Adjustments!$H:$H,"2D",Adjustments!$I:$I,'Schedule 2D Adjustments'!$Y$12,Adjustments!$J:$J,'Schedule 2D Adjustments'!$A22)</f>
        <v>0</v>
      </c>
      <c r="AA22" s="309">
        <f t="shared" si="7"/>
        <v>0</v>
      </c>
    </row>
    <row r="23" spans="1:27" x14ac:dyDescent="0.35">
      <c r="A23" s="24">
        <v>9</v>
      </c>
      <c r="B23" s="507" t="str">
        <f>IF('As-Filed Schedule 2D'!B23:D23=0,"",'As-Filed Schedule 2D'!B23:D23)</f>
        <v/>
      </c>
      <c r="C23" s="507"/>
      <c r="D23" s="507"/>
      <c r="F23" s="117">
        <f>'As-Filed Schedule 2D'!F23</f>
        <v>0</v>
      </c>
      <c r="G23" s="313">
        <f>SUMIFS(Adjustments!$G:$G,Adjustments!$H:$H,"2D",Adjustments!$I:$I,'Schedule 2D Adjustments'!$F$12,Adjustments!$J:$J,'Schedule 2D Adjustments'!$A23)</f>
        <v>0</v>
      </c>
      <c r="H23" s="309">
        <f t="shared" si="0"/>
        <v>0</v>
      </c>
      <c r="I23" s="68">
        <f>IFERROR(F23*'As-Filed Schedule 1'!$E$103,0)</f>
        <v>0</v>
      </c>
      <c r="J23" s="310">
        <f>IFERROR(H23*'Adjusted Schedule 1'!$E$104,0)</f>
        <v>0</v>
      </c>
      <c r="K23" s="68">
        <f t="shared" si="1"/>
        <v>0</v>
      </c>
      <c r="L23" s="310">
        <f t="shared" si="2"/>
        <v>0</v>
      </c>
      <c r="N23" s="117">
        <f>'As-Filed Schedule 2D'!J23</f>
        <v>0</v>
      </c>
      <c r="O23" s="313">
        <f>SUMIFS(Adjustments!$G:$G,Adjustments!$H:$H,"2D",Adjustments!$I:$I,'Schedule 2D Adjustments'!$N$12,Adjustments!$J:$J,'Schedule 2D Adjustments'!$A23)</f>
        <v>0</v>
      </c>
      <c r="P23" s="309">
        <f t="shared" si="3"/>
        <v>0</v>
      </c>
      <c r="Q23" s="68">
        <f>IFERROR(N23*'As-Filed Schedule 1'!$E$103,0)</f>
        <v>0</v>
      </c>
      <c r="R23" s="68">
        <f>IFERROR(P23*'Adjusted Schedule 1'!$E$104,0)</f>
        <v>0</v>
      </c>
      <c r="S23" s="68">
        <f t="shared" si="4"/>
        <v>0</v>
      </c>
      <c r="T23" s="310">
        <f t="shared" si="5"/>
        <v>0</v>
      </c>
      <c r="V23" s="120">
        <f>'As-Filed Schedule 2D'!N23</f>
        <v>0</v>
      </c>
      <c r="W23" s="313">
        <f>SUMIFS(Adjustments!$G:$G,Adjustments!$H:$H,"2D",Adjustments!$I:$I,'Schedule 2D Adjustments'!$V$12,Adjustments!$J:$J,'Schedule 2D Adjustments'!$A23)</f>
        <v>0</v>
      </c>
      <c r="X23" s="309">
        <f t="shared" si="6"/>
        <v>0</v>
      </c>
      <c r="Y23" s="120">
        <f>'As-Filed Schedule 2D'!O23</f>
        <v>0</v>
      </c>
      <c r="Z23" s="313">
        <f>SUMIFS(Adjustments!$G:$G,Adjustments!$H:$H,"2D",Adjustments!$I:$I,'Schedule 2D Adjustments'!$Y$12,Adjustments!$J:$J,'Schedule 2D Adjustments'!$A23)</f>
        <v>0</v>
      </c>
      <c r="AA23" s="309">
        <f t="shared" si="7"/>
        <v>0</v>
      </c>
    </row>
    <row r="24" spans="1:27" x14ac:dyDescent="0.35">
      <c r="A24" s="24">
        <v>10</v>
      </c>
      <c r="B24" s="507" t="str">
        <f>IF('As-Filed Schedule 2D'!B24:D24=0,"",'As-Filed Schedule 2D'!B24:D24)</f>
        <v/>
      </c>
      <c r="C24" s="507"/>
      <c r="D24" s="507"/>
      <c r="F24" s="117">
        <f>'As-Filed Schedule 2D'!F24</f>
        <v>0</v>
      </c>
      <c r="G24" s="313">
        <f>SUMIFS(Adjustments!$G:$G,Adjustments!$H:$H,"2D",Adjustments!$I:$I,'Schedule 2D Adjustments'!$F$12,Adjustments!$J:$J,'Schedule 2D Adjustments'!$A24)</f>
        <v>0</v>
      </c>
      <c r="H24" s="309">
        <f t="shared" si="0"/>
        <v>0</v>
      </c>
      <c r="I24" s="68">
        <f>IFERROR(F24*'As-Filed Schedule 1'!$E$103,0)</f>
        <v>0</v>
      </c>
      <c r="J24" s="310">
        <f>IFERROR(H24*'Adjusted Schedule 1'!$E$104,0)</f>
        <v>0</v>
      </c>
      <c r="K24" s="68">
        <f t="shared" si="1"/>
        <v>0</v>
      </c>
      <c r="L24" s="310">
        <f t="shared" si="2"/>
        <v>0</v>
      </c>
      <c r="N24" s="117">
        <f>'As-Filed Schedule 2D'!J24</f>
        <v>0</v>
      </c>
      <c r="O24" s="313">
        <f>SUMIFS(Adjustments!$G:$G,Adjustments!$H:$H,"2D",Adjustments!$I:$I,'Schedule 2D Adjustments'!$N$12,Adjustments!$J:$J,'Schedule 2D Adjustments'!$A24)</f>
        <v>0</v>
      </c>
      <c r="P24" s="309">
        <f t="shared" si="3"/>
        <v>0</v>
      </c>
      <c r="Q24" s="68">
        <f>IFERROR(N24*'As-Filed Schedule 1'!$E$103,0)</f>
        <v>0</v>
      </c>
      <c r="R24" s="68">
        <f>IFERROR(P24*'Adjusted Schedule 1'!$E$104,0)</f>
        <v>0</v>
      </c>
      <c r="S24" s="68">
        <f t="shared" si="4"/>
        <v>0</v>
      </c>
      <c r="T24" s="310">
        <f t="shared" si="5"/>
        <v>0</v>
      </c>
      <c r="V24" s="120">
        <f>'As-Filed Schedule 2D'!N24</f>
        <v>0</v>
      </c>
      <c r="W24" s="313">
        <f>SUMIFS(Adjustments!$G:$G,Adjustments!$H:$H,"2D",Adjustments!$I:$I,'Schedule 2D Adjustments'!$V$12,Adjustments!$J:$J,'Schedule 2D Adjustments'!$A24)</f>
        <v>0</v>
      </c>
      <c r="X24" s="309">
        <f t="shared" si="6"/>
        <v>0</v>
      </c>
      <c r="Y24" s="120">
        <f>'As-Filed Schedule 2D'!O24</f>
        <v>0</v>
      </c>
      <c r="Z24" s="313">
        <f>SUMIFS(Adjustments!$G:$G,Adjustments!$H:$H,"2D",Adjustments!$I:$I,'Schedule 2D Adjustments'!$Y$12,Adjustments!$J:$J,'Schedule 2D Adjustments'!$A24)</f>
        <v>0</v>
      </c>
      <c r="AA24" s="309">
        <f t="shared" si="7"/>
        <v>0</v>
      </c>
    </row>
    <row r="25" spans="1:27" x14ac:dyDescent="0.35">
      <c r="A25" s="24">
        <v>11</v>
      </c>
      <c r="B25" s="507" t="str">
        <f>IF('As-Filed Schedule 2D'!B25:D25=0,"",'As-Filed Schedule 2D'!B25:D25)</f>
        <v/>
      </c>
      <c r="C25" s="507"/>
      <c r="D25" s="507"/>
      <c r="F25" s="117">
        <f>'As-Filed Schedule 2D'!F25</f>
        <v>0</v>
      </c>
      <c r="G25" s="313">
        <f>SUMIFS(Adjustments!$G:$G,Adjustments!$H:$H,"2D",Adjustments!$I:$I,'Schedule 2D Adjustments'!$F$12,Adjustments!$J:$J,'Schedule 2D Adjustments'!$A25)</f>
        <v>0</v>
      </c>
      <c r="H25" s="309">
        <f t="shared" si="0"/>
        <v>0</v>
      </c>
      <c r="I25" s="68">
        <f>IFERROR(F25*'As-Filed Schedule 1'!$E$103,0)</f>
        <v>0</v>
      </c>
      <c r="J25" s="310">
        <f>IFERROR(H25*'Adjusted Schedule 1'!$E$104,0)</f>
        <v>0</v>
      </c>
      <c r="K25" s="68">
        <f t="shared" si="1"/>
        <v>0</v>
      </c>
      <c r="L25" s="310">
        <f t="shared" si="2"/>
        <v>0</v>
      </c>
      <c r="N25" s="117">
        <f>'As-Filed Schedule 2D'!J25</f>
        <v>0</v>
      </c>
      <c r="O25" s="313">
        <f>SUMIFS(Adjustments!$G:$G,Adjustments!$H:$H,"2D",Adjustments!$I:$I,'Schedule 2D Adjustments'!$N$12,Adjustments!$J:$J,'Schedule 2D Adjustments'!$A25)</f>
        <v>0</v>
      </c>
      <c r="P25" s="309">
        <f t="shared" si="3"/>
        <v>0</v>
      </c>
      <c r="Q25" s="68">
        <f>IFERROR(N25*'As-Filed Schedule 1'!$E$103,0)</f>
        <v>0</v>
      </c>
      <c r="R25" s="68">
        <f>IFERROR(P25*'Adjusted Schedule 1'!$E$104,0)</f>
        <v>0</v>
      </c>
      <c r="S25" s="68">
        <f t="shared" si="4"/>
        <v>0</v>
      </c>
      <c r="T25" s="310">
        <f t="shared" si="5"/>
        <v>0</v>
      </c>
      <c r="V25" s="120">
        <f>'As-Filed Schedule 2D'!N25</f>
        <v>0</v>
      </c>
      <c r="W25" s="313">
        <f>SUMIFS(Adjustments!$G:$G,Adjustments!$H:$H,"2D",Adjustments!$I:$I,'Schedule 2D Adjustments'!$V$12,Adjustments!$J:$J,'Schedule 2D Adjustments'!$A25)</f>
        <v>0</v>
      </c>
      <c r="X25" s="309">
        <f t="shared" si="6"/>
        <v>0</v>
      </c>
      <c r="Y25" s="120">
        <f>'As-Filed Schedule 2D'!O25</f>
        <v>0</v>
      </c>
      <c r="Z25" s="313">
        <f>SUMIFS(Adjustments!$G:$G,Adjustments!$H:$H,"2D",Adjustments!$I:$I,'Schedule 2D Adjustments'!$Y$12,Adjustments!$J:$J,'Schedule 2D Adjustments'!$A25)</f>
        <v>0</v>
      </c>
      <c r="AA25" s="309">
        <f t="shared" si="7"/>
        <v>0</v>
      </c>
    </row>
    <row r="26" spans="1:27" x14ac:dyDescent="0.35">
      <c r="A26" s="24">
        <v>12</v>
      </c>
      <c r="B26" s="507" t="str">
        <f>IF('As-Filed Schedule 2D'!B26:D26=0,"",'As-Filed Schedule 2D'!B26:D26)</f>
        <v/>
      </c>
      <c r="C26" s="507"/>
      <c r="D26" s="507"/>
      <c r="F26" s="117">
        <f>'As-Filed Schedule 2D'!F26</f>
        <v>0</v>
      </c>
      <c r="G26" s="313">
        <f>SUMIFS(Adjustments!$G:$G,Adjustments!$H:$H,"2D",Adjustments!$I:$I,'Schedule 2D Adjustments'!$F$12,Adjustments!$J:$J,'Schedule 2D Adjustments'!$A26)</f>
        <v>0</v>
      </c>
      <c r="H26" s="309">
        <f t="shared" si="0"/>
        <v>0</v>
      </c>
      <c r="I26" s="68">
        <f>IFERROR(F26*'As-Filed Schedule 1'!$E$103,0)</f>
        <v>0</v>
      </c>
      <c r="J26" s="310">
        <f>IFERROR(H26*'Adjusted Schedule 1'!$E$104,0)</f>
        <v>0</v>
      </c>
      <c r="K26" s="68">
        <f t="shared" si="1"/>
        <v>0</v>
      </c>
      <c r="L26" s="310">
        <f t="shared" si="2"/>
        <v>0</v>
      </c>
      <c r="N26" s="117">
        <f>'As-Filed Schedule 2D'!J26</f>
        <v>0</v>
      </c>
      <c r="O26" s="313">
        <f>SUMIFS(Adjustments!$G:$G,Adjustments!$H:$H,"2D",Adjustments!$I:$I,'Schedule 2D Adjustments'!$N$12,Adjustments!$J:$J,'Schedule 2D Adjustments'!$A26)</f>
        <v>0</v>
      </c>
      <c r="P26" s="309">
        <f t="shared" si="3"/>
        <v>0</v>
      </c>
      <c r="Q26" s="68">
        <f>IFERROR(N26*'As-Filed Schedule 1'!$E$103,0)</f>
        <v>0</v>
      </c>
      <c r="R26" s="68">
        <f>IFERROR(P26*'Adjusted Schedule 1'!$E$104,0)</f>
        <v>0</v>
      </c>
      <c r="S26" s="68">
        <f t="shared" si="4"/>
        <v>0</v>
      </c>
      <c r="T26" s="310">
        <f t="shared" si="5"/>
        <v>0</v>
      </c>
      <c r="V26" s="120">
        <f>'As-Filed Schedule 2D'!N26</f>
        <v>0</v>
      </c>
      <c r="W26" s="313">
        <f>SUMIFS(Adjustments!$G:$G,Adjustments!$H:$H,"2D",Adjustments!$I:$I,'Schedule 2D Adjustments'!$V$12,Adjustments!$J:$J,'Schedule 2D Adjustments'!$A26)</f>
        <v>0</v>
      </c>
      <c r="X26" s="309">
        <f t="shared" si="6"/>
        <v>0</v>
      </c>
      <c r="Y26" s="120">
        <f>'As-Filed Schedule 2D'!O26</f>
        <v>0</v>
      </c>
      <c r="Z26" s="313">
        <f>SUMIFS(Adjustments!$G:$G,Adjustments!$H:$H,"2D",Adjustments!$I:$I,'Schedule 2D Adjustments'!$Y$12,Adjustments!$J:$J,'Schedule 2D Adjustments'!$A26)</f>
        <v>0</v>
      </c>
      <c r="AA26" s="309">
        <f t="shared" si="7"/>
        <v>0</v>
      </c>
    </row>
    <row r="27" spans="1:27" x14ac:dyDescent="0.35">
      <c r="A27" s="24">
        <v>13</v>
      </c>
      <c r="B27" s="507" t="str">
        <f>IF('As-Filed Schedule 2D'!B27:D27=0,"",'As-Filed Schedule 2D'!B27:D27)</f>
        <v/>
      </c>
      <c r="C27" s="507"/>
      <c r="D27" s="507"/>
      <c r="F27" s="117">
        <f>'As-Filed Schedule 2D'!F27</f>
        <v>0</v>
      </c>
      <c r="G27" s="313">
        <f>SUMIFS(Adjustments!$G:$G,Adjustments!$H:$H,"2D",Adjustments!$I:$I,'Schedule 2D Adjustments'!$F$12,Adjustments!$J:$J,'Schedule 2D Adjustments'!$A27)</f>
        <v>0</v>
      </c>
      <c r="H27" s="309">
        <f t="shared" si="0"/>
        <v>0</v>
      </c>
      <c r="I27" s="68">
        <f>IFERROR(F27*'As-Filed Schedule 1'!$E$103,0)</f>
        <v>0</v>
      </c>
      <c r="J27" s="310">
        <f>IFERROR(H27*'Adjusted Schedule 1'!$E$104,0)</f>
        <v>0</v>
      </c>
      <c r="K27" s="68">
        <f t="shared" si="1"/>
        <v>0</v>
      </c>
      <c r="L27" s="310">
        <f t="shared" si="2"/>
        <v>0</v>
      </c>
      <c r="N27" s="117">
        <f>'As-Filed Schedule 2D'!J27</f>
        <v>0</v>
      </c>
      <c r="O27" s="313">
        <f>SUMIFS(Adjustments!$G:$G,Adjustments!$H:$H,"2D",Adjustments!$I:$I,'Schedule 2D Adjustments'!$N$12,Adjustments!$J:$J,'Schedule 2D Adjustments'!$A27)</f>
        <v>0</v>
      </c>
      <c r="P27" s="309">
        <f t="shared" si="3"/>
        <v>0</v>
      </c>
      <c r="Q27" s="68">
        <f>IFERROR(N27*'As-Filed Schedule 1'!$E$103,0)</f>
        <v>0</v>
      </c>
      <c r="R27" s="68">
        <f>IFERROR(P27*'Adjusted Schedule 1'!$E$104,0)</f>
        <v>0</v>
      </c>
      <c r="S27" s="68">
        <f t="shared" si="4"/>
        <v>0</v>
      </c>
      <c r="T27" s="310">
        <f t="shared" si="5"/>
        <v>0</v>
      </c>
      <c r="V27" s="120">
        <f>'As-Filed Schedule 2D'!N27</f>
        <v>0</v>
      </c>
      <c r="W27" s="313">
        <f>SUMIFS(Adjustments!$G:$G,Adjustments!$H:$H,"2D",Adjustments!$I:$I,'Schedule 2D Adjustments'!$V$12,Adjustments!$J:$J,'Schedule 2D Adjustments'!$A27)</f>
        <v>0</v>
      </c>
      <c r="X27" s="309">
        <f t="shared" si="6"/>
        <v>0</v>
      </c>
      <c r="Y27" s="120">
        <f>'As-Filed Schedule 2D'!O27</f>
        <v>0</v>
      </c>
      <c r="Z27" s="313">
        <f>SUMIFS(Adjustments!$G:$G,Adjustments!$H:$H,"2D",Adjustments!$I:$I,'Schedule 2D Adjustments'!$Y$12,Adjustments!$J:$J,'Schedule 2D Adjustments'!$A27)</f>
        <v>0</v>
      </c>
      <c r="AA27" s="309">
        <f t="shared" si="7"/>
        <v>0</v>
      </c>
    </row>
    <row r="28" spans="1:27" x14ac:dyDescent="0.35">
      <c r="A28" s="24">
        <v>14</v>
      </c>
      <c r="B28" s="507" t="str">
        <f>IF('As-Filed Schedule 2D'!B28:D28=0,"",'As-Filed Schedule 2D'!B28:D28)</f>
        <v/>
      </c>
      <c r="C28" s="507"/>
      <c r="D28" s="507"/>
      <c r="F28" s="117">
        <f>'As-Filed Schedule 2D'!F28</f>
        <v>0</v>
      </c>
      <c r="G28" s="313">
        <f>SUMIFS(Adjustments!$G:$G,Adjustments!$H:$H,"2D",Adjustments!$I:$I,'Schedule 2D Adjustments'!$F$12,Adjustments!$J:$J,'Schedule 2D Adjustments'!$A28)</f>
        <v>0</v>
      </c>
      <c r="H28" s="309">
        <f t="shared" si="0"/>
        <v>0</v>
      </c>
      <c r="I28" s="68">
        <f>IFERROR(F28*'As-Filed Schedule 1'!$E$103,0)</f>
        <v>0</v>
      </c>
      <c r="J28" s="310">
        <f>IFERROR(H28*'Adjusted Schedule 1'!$E$104,0)</f>
        <v>0</v>
      </c>
      <c r="K28" s="68">
        <f t="shared" si="1"/>
        <v>0</v>
      </c>
      <c r="L28" s="310">
        <f t="shared" si="2"/>
        <v>0</v>
      </c>
      <c r="N28" s="117">
        <f>'As-Filed Schedule 2D'!J28</f>
        <v>0</v>
      </c>
      <c r="O28" s="313">
        <f>SUMIFS(Adjustments!$G:$G,Adjustments!$H:$H,"2D",Adjustments!$I:$I,'Schedule 2D Adjustments'!$N$12,Adjustments!$J:$J,'Schedule 2D Adjustments'!$A28)</f>
        <v>0</v>
      </c>
      <c r="P28" s="309">
        <f t="shared" si="3"/>
        <v>0</v>
      </c>
      <c r="Q28" s="68">
        <f>IFERROR(N28*'As-Filed Schedule 1'!$E$103,0)</f>
        <v>0</v>
      </c>
      <c r="R28" s="68">
        <f>IFERROR(P28*'Adjusted Schedule 1'!$E$104,0)</f>
        <v>0</v>
      </c>
      <c r="S28" s="68">
        <f t="shared" si="4"/>
        <v>0</v>
      </c>
      <c r="T28" s="310">
        <f t="shared" si="5"/>
        <v>0</v>
      </c>
      <c r="V28" s="120">
        <f>'As-Filed Schedule 2D'!N28</f>
        <v>0</v>
      </c>
      <c r="W28" s="313">
        <f>SUMIFS(Adjustments!$G:$G,Adjustments!$H:$H,"2D",Adjustments!$I:$I,'Schedule 2D Adjustments'!$V$12,Adjustments!$J:$J,'Schedule 2D Adjustments'!$A28)</f>
        <v>0</v>
      </c>
      <c r="X28" s="309">
        <f t="shared" si="6"/>
        <v>0</v>
      </c>
      <c r="Y28" s="120">
        <f>'As-Filed Schedule 2D'!O28</f>
        <v>0</v>
      </c>
      <c r="Z28" s="313">
        <f>SUMIFS(Adjustments!$G:$G,Adjustments!$H:$H,"2D",Adjustments!$I:$I,'Schedule 2D Adjustments'!$Y$12,Adjustments!$J:$J,'Schedule 2D Adjustments'!$A28)</f>
        <v>0</v>
      </c>
      <c r="AA28" s="309">
        <f t="shared" si="7"/>
        <v>0</v>
      </c>
    </row>
    <row r="29" spans="1:27" x14ac:dyDescent="0.35">
      <c r="A29" s="24">
        <v>15</v>
      </c>
      <c r="B29" s="507" t="str">
        <f>IF('As-Filed Schedule 2D'!B29:D29=0,"",'As-Filed Schedule 2D'!B29:D29)</f>
        <v/>
      </c>
      <c r="C29" s="507"/>
      <c r="D29" s="507"/>
      <c r="F29" s="117">
        <f>'As-Filed Schedule 2D'!F29</f>
        <v>0</v>
      </c>
      <c r="G29" s="313">
        <f>SUMIFS(Adjustments!$G:$G,Adjustments!$H:$H,"2D",Adjustments!$I:$I,'Schedule 2D Adjustments'!$F$12,Adjustments!$J:$J,'Schedule 2D Adjustments'!$A29)</f>
        <v>0</v>
      </c>
      <c r="H29" s="309">
        <f t="shared" si="0"/>
        <v>0</v>
      </c>
      <c r="I29" s="68">
        <f>IFERROR(F29*'As-Filed Schedule 1'!$E$103,0)</f>
        <v>0</v>
      </c>
      <c r="J29" s="310">
        <f>IFERROR(H29*'Adjusted Schedule 1'!$E$104,0)</f>
        <v>0</v>
      </c>
      <c r="K29" s="68">
        <f t="shared" si="1"/>
        <v>0</v>
      </c>
      <c r="L29" s="310">
        <f t="shared" si="2"/>
        <v>0</v>
      </c>
      <c r="N29" s="117">
        <f>'As-Filed Schedule 2D'!J29</f>
        <v>0</v>
      </c>
      <c r="O29" s="313">
        <f>SUMIFS(Adjustments!$G:$G,Adjustments!$H:$H,"2D",Adjustments!$I:$I,'Schedule 2D Adjustments'!$N$12,Adjustments!$J:$J,'Schedule 2D Adjustments'!$A29)</f>
        <v>0</v>
      </c>
      <c r="P29" s="309">
        <f t="shared" si="3"/>
        <v>0</v>
      </c>
      <c r="Q29" s="68">
        <f>IFERROR(N29*'As-Filed Schedule 1'!$E$103,0)</f>
        <v>0</v>
      </c>
      <c r="R29" s="68">
        <f>IFERROR(P29*'Adjusted Schedule 1'!$E$104,0)</f>
        <v>0</v>
      </c>
      <c r="S29" s="68">
        <f t="shared" si="4"/>
        <v>0</v>
      </c>
      <c r="T29" s="310">
        <f t="shared" si="5"/>
        <v>0</v>
      </c>
      <c r="V29" s="120">
        <f>'As-Filed Schedule 2D'!N29</f>
        <v>0</v>
      </c>
      <c r="W29" s="313">
        <f>SUMIFS(Adjustments!$G:$G,Adjustments!$H:$H,"2D",Adjustments!$I:$I,'Schedule 2D Adjustments'!$V$12,Adjustments!$J:$J,'Schedule 2D Adjustments'!$A29)</f>
        <v>0</v>
      </c>
      <c r="X29" s="309">
        <f t="shared" si="6"/>
        <v>0</v>
      </c>
      <c r="Y29" s="120">
        <f>'As-Filed Schedule 2D'!O29</f>
        <v>0</v>
      </c>
      <c r="Z29" s="313">
        <f>SUMIFS(Adjustments!$G:$G,Adjustments!$H:$H,"2D",Adjustments!$I:$I,'Schedule 2D Adjustments'!$Y$12,Adjustments!$J:$J,'Schedule 2D Adjustments'!$A29)</f>
        <v>0</v>
      </c>
      <c r="AA29" s="309">
        <f t="shared" si="7"/>
        <v>0</v>
      </c>
    </row>
    <row r="30" spans="1:27" x14ac:dyDescent="0.35">
      <c r="A30" s="24">
        <v>16</v>
      </c>
      <c r="B30" s="507" t="str">
        <f>IF('As-Filed Schedule 2D'!B30:D30=0,"",'As-Filed Schedule 2D'!B30:D30)</f>
        <v/>
      </c>
      <c r="C30" s="507"/>
      <c r="D30" s="507"/>
      <c r="F30" s="117">
        <f>'As-Filed Schedule 2D'!F30</f>
        <v>0</v>
      </c>
      <c r="G30" s="313">
        <f>SUMIFS(Adjustments!$G:$G,Adjustments!$H:$H,"2D",Adjustments!$I:$I,'Schedule 2D Adjustments'!$F$12,Adjustments!$J:$J,'Schedule 2D Adjustments'!$A30)</f>
        <v>0</v>
      </c>
      <c r="H30" s="309">
        <f t="shared" si="0"/>
        <v>0</v>
      </c>
      <c r="I30" s="68">
        <f>IFERROR(F30*'As-Filed Schedule 1'!$E$103,0)</f>
        <v>0</v>
      </c>
      <c r="J30" s="310">
        <f>IFERROR(H30*'Adjusted Schedule 1'!$E$104,0)</f>
        <v>0</v>
      </c>
      <c r="K30" s="68">
        <f t="shared" si="1"/>
        <v>0</v>
      </c>
      <c r="L30" s="310">
        <f t="shared" si="2"/>
        <v>0</v>
      </c>
      <c r="N30" s="117">
        <f>'As-Filed Schedule 2D'!J30</f>
        <v>0</v>
      </c>
      <c r="O30" s="313">
        <f>SUMIFS(Adjustments!$G:$G,Adjustments!$H:$H,"2D",Adjustments!$I:$I,'Schedule 2D Adjustments'!$N$12,Adjustments!$J:$J,'Schedule 2D Adjustments'!$A30)</f>
        <v>0</v>
      </c>
      <c r="P30" s="309">
        <f t="shared" si="3"/>
        <v>0</v>
      </c>
      <c r="Q30" s="68">
        <f>IFERROR(N30*'As-Filed Schedule 1'!$E$103,0)</f>
        <v>0</v>
      </c>
      <c r="R30" s="68">
        <f>IFERROR(P30*'Adjusted Schedule 1'!$E$104,0)</f>
        <v>0</v>
      </c>
      <c r="S30" s="68">
        <f t="shared" si="4"/>
        <v>0</v>
      </c>
      <c r="T30" s="310">
        <f t="shared" si="5"/>
        <v>0</v>
      </c>
      <c r="V30" s="120">
        <f>'As-Filed Schedule 2D'!N30</f>
        <v>0</v>
      </c>
      <c r="W30" s="313">
        <f>SUMIFS(Adjustments!$G:$G,Adjustments!$H:$H,"2D",Adjustments!$I:$I,'Schedule 2D Adjustments'!$V$12,Adjustments!$J:$J,'Schedule 2D Adjustments'!$A30)</f>
        <v>0</v>
      </c>
      <c r="X30" s="309">
        <f t="shared" si="6"/>
        <v>0</v>
      </c>
      <c r="Y30" s="120">
        <f>'As-Filed Schedule 2D'!O30</f>
        <v>0</v>
      </c>
      <c r="Z30" s="313">
        <f>SUMIFS(Adjustments!$G:$G,Adjustments!$H:$H,"2D",Adjustments!$I:$I,'Schedule 2D Adjustments'!$Y$12,Adjustments!$J:$J,'Schedule 2D Adjustments'!$A30)</f>
        <v>0</v>
      </c>
      <c r="AA30" s="309">
        <f t="shared" si="7"/>
        <v>0</v>
      </c>
    </row>
    <row r="31" spans="1:27" x14ac:dyDescent="0.35">
      <c r="A31" s="24">
        <v>17</v>
      </c>
      <c r="B31" s="507" t="str">
        <f>IF('As-Filed Schedule 2D'!B31:D31=0,"",'As-Filed Schedule 2D'!B31:D31)</f>
        <v/>
      </c>
      <c r="C31" s="507"/>
      <c r="D31" s="507"/>
      <c r="F31" s="117">
        <f>'As-Filed Schedule 2D'!F31</f>
        <v>0</v>
      </c>
      <c r="G31" s="313">
        <f>SUMIFS(Adjustments!$G:$G,Adjustments!$H:$H,"2D",Adjustments!$I:$I,'Schedule 2D Adjustments'!$F$12,Adjustments!$J:$J,'Schedule 2D Adjustments'!$A31)</f>
        <v>0</v>
      </c>
      <c r="H31" s="309">
        <f t="shared" si="0"/>
        <v>0</v>
      </c>
      <c r="I31" s="68">
        <f>IFERROR(F31*'As-Filed Schedule 1'!$E$103,0)</f>
        <v>0</v>
      </c>
      <c r="J31" s="310">
        <f>IFERROR(H31*'Adjusted Schedule 1'!$E$104,0)</f>
        <v>0</v>
      </c>
      <c r="K31" s="68">
        <f t="shared" si="1"/>
        <v>0</v>
      </c>
      <c r="L31" s="310">
        <f t="shared" si="2"/>
        <v>0</v>
      </c>
      <c r="N31" s="117">
        <f>'As-Filed Schedule 2D'!J31</f>
        <v>0</v>
      </c>
      <c r="O31" s="313">
        <f>SUMIFS(Adjustments!$G:$G,Adjustments!$H:$H,"2D",Adjustments!$I:$I,'Schedule 2D Adjustments'!$N$12,Adjustments!$J:$J,'Schedule 2D Adjustments'!$A31)</f>
        <v>0</v>
      </c>
      <c r="P31" s="309">
        <f t="shared" si="3"/>
        <v>0</v>
      </c>
      <c r="Q31" s="68">
        <f>IFERROR(N31*'As-Filed Schedule 1'!$E$103,0)</f>
        <v>0</v>
      </c>
      <c r="R31" s="68">
        <f>IFERROR(P31*'Adjusted Schedule 1'!$E$104,0)</f>
        <v>0</v>
      </c>
      <c r="S31" s="68">
        <f t="shared" si="4"/>
        <v>0</v>
      </c>
      <c r="T31" s="310">
        <f t="shared" si="5"/>
        <v>0</v>
      </c>
      <c r="V31" s="120">
        <f>'As-Filed Schedule 2D'!N31</f>
        <v>0</v>
      </c>
      <c r="W31" s="313">
        <f>SUMIFS(Adjustments!$G:$G,Adjustments!$H:$H,"2D",Adjustments!$I:$I,'Schedule 2D Adjustments'!$V$12,Adjustments!$J:$J,'Schedule 2D Adjustments'!$A31)</f>
        <v>0</v>
      </c>
      <c r="X31" s="309">
        <f t="shared" si="6"/>
        <v>0</v>
      </c>
      <c r="Y31" s="120">
        <f>'As-Filed Schedule 2D'!O31</f>
        <v>0</v>
      </c>
      <c r="Z31" s="313">
        <f>SUMIFS(Adjustments!$G:$G,Adjustments!$H:$H,"2D",Adjustments!$I:$I,'Schedule 2D Adjustments'!$Y$12,Adjustments!$J:$J,'Schedule 2D Adjustments'!$A31)</f>
        <v>0</v>
      </c>
      <c r="AA31" s="309">
        <f t="shared" si="7"/>
        <v>0</v>
      </c>
    </row>
    <row r="32" spans="1:27" x14ac:dyDescent="0.35">
      <c r="A32" s="24">
        <v>18</v>
      </c>
      <c r="B32" s="507" t="str">
        <f>IF('As-Filed Schedule 2D'!B32:D32=0,"",'As-Filed Schedule 2D'!B32:D32)</f>
        <v/>
      </c>
      <c r="C32" s="507"/>
      <c r="D32" s="507"/>
      <c r="F32" s="117">
        <f>'As-Filed Schedule 2D'!F32</f>
        <v>0</v>
      </c>
      <c r="G32" s="313">
        <f>SUMIFS(Adjustments!$G:$G,Adjustments!$H:$H,"2D",Adjustments!$I:$I,'Schedule 2D Adjustments'!$F$12,Adjustments!$J:$J,'Schedule 2D Adjustments'!$A32)</f>
        <v>0</v>
      </c>
      <c r="H32" s="309">
        <f t="shared" si="0"/>
        <v>0</v>
      </c>
      <c r="I32" s="68">
        <f>IFERROR(F32*'As-Filed Schedule 1'!$E$103,0)</f>
        <v>0</v>
      </c>
      <c r="J32" s="310">
        <f>IFERROR(H32*'Adjusted Schedule 1'!$E$104,0)</f>
        <v>0</v>
      </c>
      <c r="K32" s="68">
        <f t="shared" si="1"/>
        <v>0</v>
      </c>
      <c r="L32" s="310">
        <f t="shared" si="2"/>
        <v>0</v>
      </c>
      <c r="N32" s="117">
        <f>'As-Filed Schedule 2D'!J32</f>
        <v>0</v>
      </c>
      <c r="O32" s="313">
        <f>SUMIFS(Adjustments!$G:$G,Adjustments!$H:$H,"2D",Adjustments!$I:$I,'Schedule 2D Adjustments'!$N$12,Adjustments!$J:$J,'Schedule 2D Adjustments'!$A32)</f>
        <v>0</v>
      </c>
      <c r="P32" s="309">
        <f t="shared" si="3"/>
        <v>0</v>
      </c>
      <c r="Q32" s="68">
        <f>IFERROR(N32*'As-Filed Schedule 1'!$E$103,0)</f>
        <v>0</v>
      </c>
      <c r="R32" s="68">
        <f>IFERROR(P32*'Adjusted Schedule 1'!$E$104,0)</f>
        <v>0</v>
      </c>
      <c r="S32" s="68">
        <f t="shared" si="4"/>
        <v>0</v>
      </c>
      <c r="T32" s="310">
        <f t="shared" si="5"/>
        <v>0</v>
      </c>
      <c r="V32" s="120">
        <f>'As-Filed Schedule 2D'!N32</f>
        <v>0</v>
      </c>
      <c r="W32" s="313">
        <f>SUMIFS(Adjustments!$G:$G,Adjustments!$H:$H,"2D",Adjustments!$I:$I,'Schedule 2D Adjustments'!$V$12,Adjustments!$J:$J,'Schedule 2D Adjustments'!$A32)</f>
        <v>0</v>
      </c>
      <c r="X32" s="309">
        <f t="shared" si="6"/>
        <v>0</v>
      </c>
      <c r="Y32" s="120">
        <f>'As-Filed Schedule 2D'!O32</f>
        <v>0</v>
      </c>
      <c r="Z32" s="313">
        <f>SUMIFS(Adjustments!$G:$G,Adjustments!$H:$H,"2D",Adjustments!$I:$I,'Schedule 2D Adjustments'!$Y$12,Adjustments!$J:$J,'Schedule 2D Adjustments'!$A32)</f>
        <v>0</v>
      </c>
      <c r="AA32" s="309">
        <f t="shared" si="7"/>
        <v>0</v>
      </c>
    </row>
    <row r="33" spans="1:27" x14ac:dyDescent="0.35">
      <c r="A33" s="24">
        <v>19</v>
      </c>
      <c r="B33" s="507" t="str">
        <f>IF('As-Filed Schedule 2D'!B33:D33=0,"",'As-Filed Schedule 2D'!B33:D33)</f>
        <v/>
      </c>
      <c r="C33" s="507"/>
      <c r="D33" s="507"/>
      <c r="F33" s="117">
        <f>'As-Filed Schedule 2D'!F33</f>
        <v>0</v>
      </c>
      <c r="G33" s="313">
        <f>SUMIFS(Adjustments!$G:$G,Adjustments!$H:$H,"2D",Adjustments!$I:$I,'Schedule 2D Adjustments'!$F$12,Adjustments!$J:$J,'Schedule 2D Adjustments'!$A33)</f>
        <v>0</v>
      </c>
      <c r="H33" s="309">
        <f t="shared" si="0"/>
        <v>0</v>
      </c>
      <c r="I33" s="68">
        <f>IFERROR(F33*'As-Filed Schedule 1'!$E$103,0)</f>
        <v>0</v>
      </c>
      <c r="J33" s="310">
        <f>IFERROR(H33*'Adjusted Schedule 1'!$E$104,0)</f>
        <v>0</v>
      </c>
      <c r="K33" s="68">
        <f t="shared" si="1"/>
        <v>0</v>
      </c>
      <c r="L33" s="310">
        <f t="shared" si="2"/>
        <v>0</v>
      </c>
      <c r="N33" s="117">
        <f>'As-Filed Schedule 2D'!J33</f>
        <v>0</v>
      </c>
      <c r="O33" s="313">
        <f>SUMIFS(Adjustments!$G:$G,Adjustments!$H:$H,"2D",Adjustments!$I:$I,'Schedule 2D Adjustments'!$N$12,Adjustments!$J:$J,'Schedule 2D Adjustments'!$A33)</f>
        <v>0</v>
      </c>
      <c r="P33" s="309">
        <f t="shared" si="3"/>
        <v>0</v>
      </c>
      <c r="Q33" s="68">
        <f>IFERROR(N33*'As-Filed Schedule 1'!$E$103,0)</f>
        <v>0</v>
      </c>
      <c r="R33" s="68">
        <f>IFERROR(P33*'Adjusted Schedule 1'!$E$104,0)</f>
        <v>0</v>
      </c>
      <c r="S33" s="68">
        <f t="shared" si="4"/>
        <v>0</v>
      </c>
      <c r="T33" s="310">
        <f t="shared" si="5"/>
        <v>0</v>
      </c>
      <c r="V33" s="120">
        <f>'As-Filed Schedule 2D'!N33</f>
        <v>0</v>
      </c>
      <c r="W33" s="313">
        <f>SUMIFS(Adjustments!$G:$G,Adjustments!$H:$H,"2D",Adjustments!$I:$I,'Schedule 2D Adjustments'!$V$12,Adjustments!$J:$J,'Schedule 2D Adjustments'!$A33)</f>
        <v>0</v>
      </c>
      <c r="X33" s="309">
        <f t="shared" si="6"/>
        <v>0</v>
      </c>
      <c r="Y33" s="120">
        <f>'As-Filed Schedule 2D'!O33</f>
        <v>0</v>
      </c>
      <c r="Z33" s="313">
        <f>SUMIFS(Adjustments!$G:$G,Adjustments!$H:$H,"2D",Adjustments!$I:$I,'Schedule 2D Adjustments'!$Y$12,Adjustments!$J:$J,'Schedule 2D Adjustments'!$A33)</f>
        <v>0</v>
      </c>
      <c r="AA33" s="309">
        <f t="shared" si="7"/>
        <v>0</v>
      </c>
    </row>
    <row r="34" spans="1:27" x14ac:dyDescent="0.35">
      <c r="A34" s="24">
        <v>20</v>
      </c>
      <c r="B34" s="507" t="str">
        <f>IF('As-Filed Schedule 2D'!B34:D34=0,"",'As-Filed Schedule 2D'!B34:D34)</f>
        <v/>
      </c>
      <c r="C34" s="507"/>
      <c r="D34" s="507"/>
      <c r="F34" s="117">
        <f>'As-Filed Schedule 2D'!F34</f>
        <v>0</v>
      </c>
      <c r="G34" s="313">
        <f>SUMIFS(Adjustments!$G:$G,Adjustments!$H:$H,"2D",Adjustments!$I:$I,'Schedule 2D Adjustments'!$F$12,Adjustments!$J:$J,'Schedule 2D Adjustments'!$A34)</f>
        <v>0</v>
      </c>
      <c r="H34" s="309">
        <f t="shared" si="0"/>
        <v>0</v>
      </c>
      <c r="I34" s="68">
        <f>IFERROR(F34*'As-Filed Schedule 1'!$E$103,0)</f>
        <v>0</v>
      </c>
      <c r="J34" s="310">
        <f>IFERROR(H34*'Adjusted Schedule 1'!$E$104,0)</f>
        <v>0</v>
      </c>
      <c r="K34" s="68">
        <f t="shared" si="1"/>
        <v>0</v>
      </c>
      <c r="L34" s="310">
        <f t="shared" si="2"/>
        <v>0</v>
      </c>
      <c r="N34" s="117">
        <f>'As-Filed Schedule 2D'!J34</f>
        <v>0</v>
      </c>
      <c r="O34" s="313">
        <f>SUMIFS(Adjustments!$G:$G,Adjustments!$H:$H,"2D",Adjustments!$I:$I,'Schedule 2D Adjustments'!$N$12,Adjustments!$J:$J,'Schedule 2D Adjustments'!$A34)</f>
        <v>0</v>
      </c>
      <c r="P34" s="309">
        <f t="shared" si="3"/>
        <v>0</v>
      </c>
      <c r="Q34" s="68">
        <f>IFERROR(N34*'As-Filed Schedule 1'!$E$103,0)</f>
        <v>0</v>
      </c>
      <c r="R34" s="68">
        <f>IFERROR(P34*'Adjusted Schedule 1'!$E$104,0)</f>
        <v>0</v>
      </c>
      <c r="S34" s="68">
        <f t="shared" si="4"/>
        <v>0</v>
      </c>
      <c r="T34" s="310">
        <f t="shared" si="5"/>
        <v>0</v>
      </c>
      <c r="V34" s="120">
        <f>'As-Filed Schedule 2D'!N34</f>
        <v>0</v>
      </c>
      <c r="W34" s="313">
        <f>SUMIFS(Adjustments!$G:$G,Adjustments!$H:$H,"2D",Adjustments!$I:$I,'Schedule 2D Adjustments'!$V$12,Adjustments!$J:$J,'Schedule 2D Adjustments'!$A34)</f>
        <v>0</v>
      </c>
      <c r="X34" s="309">
        <f t="shared" si="6"/>
        <v>0</v>
      </c>
      <c r="Y34" s="120">
        <f>'As-Filed Schedule 2D'!O34</f>
        <v>0</v>
      </c>
      <c r="Z34" s="313">
        <f>SUMIFS(Adjustments!$G:$G,Adjustments!$H:$H,"2D",Adjustments!$I:$I,'Schedule 2D Adjustments'!$Y$12,Adjustments!$J:$J,'Schedule 2D Adjustments'!$A34)</f>
        <v>0</v>
      </c>
      <c r="AA34" s="309">
        <f t="shared" si="7"/>
        <v>0</v>
      </c>
    </row>
    <row r="35" spans="1:27" x14ac:dyDescent="0.35">
      <c r="A35" s="24">
        <v>21</v>
      </c>
      <c r="B35" s="507" t="str">
        <f>IF('As-Filed Schedule 2D'!B35:D35=0,"",'As-Filed Schedule 2D'!B35:D35)</f>
        <v/>
      </c>
      <c r="C35" s="507"/>
      <c r="D35" s="507"/>
      <c r="F35" s="117">
        <f>'As-Filed Schedule 2D'!F35</f>
        <v>0</v>
      </c>
      <c r="G35" s="313">
        <f>SUMIFS(Adjustments!$G:$G,Adjustments!$H:$H,"2D",Adjustments!$I:$I,'Schedule 2D Adjustments'!$F$12,Adjustments!$J:$J,'Schedule 2D Adjustments'!$A35)</f>
        <v>0</v>
      </c>
      <c r="H35" s="309">
        <f t="shared" si="0"/>
        <v>0</v>
      </c>
      <c r="I35" s="68">
        <f>IFERROR(F35*'As-Filed Schedule 1'!$E$103,0)</f>
        <v>0</v>
      </c>
      <c r="J35" s="310">
        <f>IFERROR(H35*'Adjusted Schedule 1'!$E$104,0)</f>
        <v>0</v>
      </c>
      <c r="K35" s="68">
        <f t="shared" si="1"/>
        <v>0</v>
      </c>
      <c r="L35" s="310">
        <f t="shared" si="2"/>
        <v>0</v>
      </c>
      <c r="N35" s="117">
        <f>'As-Filed Schedule 2D'!J35</f>
        <v>0</v>
      </c>
      <c r="O35" s="313">
        <f>SUMIFS(Adjustments!$G:$G,Adjustments!$H:$H,"2D",Adjustments!$I:$I,'Schedule 2D Adjustments'!$N$12,Adjustments!$J:$J,'Schedule 2D Adjustments'!$A35)</f>
        <v>0</v>
      </c>
      <c r="P35" s="309">
        <f t="shared" si="3"/>
        <v>0</v>
      </c>
      <c r="Q35" s="68">
        <f>IFERROR(N35*'As-Filed Schedule 1'!$E$103,0)</f>
        <v>0</v>
      </c>
      <c r="R35" s="68">
        <f>IFERROR(P35*'Adjusted Schedule 1'!$E$104,0)</f>
        <v>0</v>
      </c>
      <c r="S35" s="68">
        <f t="shared" si="4"/>
        <v>0</v>
      </c>
      <c r="T35" s="310">
        <f t="shared" si="5"/>
        <v>0</v>
      </c>
      <c r="V35" s="120">
        <f>'As-Filed Schedule 2D'!N35</f>
        <v>0</v>
      </c>
      <c r="W35" s="313">
        <f>SUMIFS(Adjustments!$G:$G,Adjustments!$H:$H,"2D",Adjustments!$I:$I,'Schedule 2D Adjustments'!$V$12,Adjustments!$J:$J,'Schedule 2D Adjustments'!$A35)</f>
        <v>0</v>
      </c>
      <c r="X35" s="309">
        <f t="shared" si="6"/>
        <v>0</v>
      </c>
      <c r="Y35" s="120">
        <f>'As-Filed Schedule 2D'!O35</f>
        <v>0</v>
      </c>
      <c r="Z35" s="313">
        <f>SUMIFS(Adjustments!$G:$G,Adjustments!$H:$H,"2D",Adjustments!$I:$I,'Schedule 2D Adjustments'!$Y$12,Adjustments!$J:$J,'Schedule 2D Adjustments'!$A35)</f>
        <v>0</v>
      </c>
      <c r="AA35" s="309">
        <f t="shared" si="7"/>
        <v>0</v>
      </c>
    </row>
    <row r="36" spans="1:27" x14ac:dyDescent="0.35">
      <c r="A36" s="24">
        <v>22</v>
      </c>
      <c r="B36" s="507" t="str">
        <f>IF('As-Filed Schedule 2D'!B36:D36=0,"",'As-Filed Schedule 2D'!B36:D36)</f>
        <v/>
      </c>
      <c r="C36" s="507"/>
      <c r="D36" s="507"/>
      <c r="F36" s="117">
        <f>'As-Filed Schedule 2D'!F36</f>
        <v>0</v>
      </c>
      <c r="G36" s="313">
        <f>SUMIFS(Adjustments!$G:$G,Adjustments!$H:$H,"2D",Adjustments!$I:$I,'Schedule 2D Adjustments'!$F$12,Adjustments!$J:$J,'Schedule 2D Adjustments'!$A36)</f>
        <v>0</v>
      </c>
      <c r="H36" s="309">
        <f t="shared" si="0"/>
        <v>0</v>
      </c>
      <c r="I36" s="68">
        <f>IFERROR(F36*'As-Filed Schedule 1'!$E$103,0)</f>
        <v>0</v>
      </c>
      <c r="J36" s="310">
        <f>IFERROR(H36*'Adjusted Schedule 1'!$E$104,0)</f>
        <v>0</v>
      </c>
      <c r="K36" s="68">
        <f t="shared" si="1"/>
        <v>0</v>
      </c>
      <c r="L36" s="310">
        <f t="shared" si="2"/>
        <v>0</v>
      </c>
      <c r="N36" s="117">
        <f>'As-Filed Schedule 2D'!J36</f>
        <v>0</v>
      </c>
      <c r="O36" s="313">
        <f>SUMIFS(Adjustments!$G:$G,Adjustments!$H:$H,"2D",Adjustments!$I:$I,'Schedule 2D Adjustments'!$N$12,Adjustments!$J:$J,'Schedule 2D Adjustments'!$A36)</f>
        <v>0</v>
      </c>
      <c r="P36" s="309">
        <f t="shared" si="3"/>
        <v>0</v>
      </c>
      <c r="Q36" s="68">
        <f>IFERROR(N36*'As-Filed Schedule 1'!$E$103,0)</f>
        <v>0</v>
      </c>
      <c r="R36" s="68">
        <f>IFERROR(P36*'Adjusted Schedule 1'!$E$104,0)</f>
        <v>0</v>
      </c>
      <c r="S36" s="68">
        <f t="shared" si="4"/>
        <v>0</v>
      </c>
      <c r="T36" s="310">
        <f t="shared" si="5"/>
        <v>0</v>
      </c>
      <c r="V36" s="120">
        <f>'As-Filed Schedule 2D'!N36</f>
        <v>0</v>
      </c>
      <c r="W36" s="313">
        <f>SUMIFS(Adjustments!$G:$G,Adjustments!$H:$H,"2D",Adjustments!$I:$I,'Schedule 2D Adjustments'!$V$12,Adjustments!$J:$J,'Schedule 2D Adjustments'!$A36)</f>
        <v>0</v>
      </c>
      <c r="X36" s="309">
        <f t="shared" si="6"/>
        <v>0</v>
      </c>
      <c r="Y36" s="120">
        <f>'As-Filed Schedule 2D'!O36</f>
        <v>0</v>
      </c>
      <c r="Z36" s="313">
        <f>SUMIFS(Adjustments!$G:$G,Adjustments!$H:$H,"2D",Adjustments!$I:$I,'Schedule 2D Adjustments'!$Y$12,Adjustments!$J:$J,'Schedule 2D Adjustments'!$A36)</f>
        <v>0</v>
      </c>
      <c r="AA36" s="309">
        <f t="shared" si="7"/>
        <v>0</v>
      </c>
    </row>
    <row r="37" spans="1:27" x14ac:dyDescent="0.35">
      <c r="A37" s="24">
        <v>23</v>
      </c>
      <c r="B37" s="507" t="str">
        <f>IF('As-Filed Schedule 2D'!B37:D37=0,"",'As-Filed Schedule 2D'!B37:D37)</f>
        <v/>
      </c>
      <c r="C37" s="507"/>
      <c r="D37" s="507"/>
      <c r="F37" s="117">
        <f>'As-Filed Schedule 2D'!F37</f>
        <v>0</v>
      </c>
      <c r="G37" s="313">
        <f>SUMIFS(Adjustments!$G:$G,Adjustments!$H:$H,"2D",Adjustments!$I:$I,'Schedule 2D Adjustments'!$F$12,Adjustments!$J:$J,'Schedule 2D Adjustments'!$A37)</f>
        <v>0</v>
      </c>
      <c r="H37" s="309">
        <f t="shared" si="0"/>
        <v>0</v>
      </c>
      <c r="I37" s="68">
        <f>IFERROR(F37*'As-Filed Schedule 1'!$E$103,0)</f>
        <v>0</v>
      </c>
      <c r="J37" s="310">
        <f>IFERROR(H37*'Adjusted Schedule 1'!$E$104,0)</f>
        <v>0</v>
      </c>
      <c r="K37" s="68">
        <f t="shared" si="1"/>
        <v>0</v>
      </c>
      <c r="L37" s="310">
        <f t="shared" si="2"/>
        <v>0</v>
      </c>
      <c r="N37" s="117">
        <f>'As-Filed Schedule 2D'!J37</f>
        <v>0</v>
      </c>
      <c r="O37" s="313">
        <f>SUMIFS(Adjustments!$G:$G,Adjustments!$H:$H,"2D",Adjustments!$I:$I,'Schedule 2D Adjustments'!$N$12,Adjustments!$J:$J,'Schedule 2D Adjustments'!$A37)</f>
        <v>0</v>
      </c>
      <c r="P37" s="309">
        <f t="shared" si="3"/>
        <v>0</v>
      </c>
      <c r="Q37" s="68">
        <f>IFERROR(N37*'As-Filed Schedule 1'!$E$103,0)</f>
        <v>0</v>
      </c>
      <c r="R37" s="68">
        <f>IFERROR(P37*'Adjusted Schedule 1'!$E$104,0)</f>
        <v>0</v>
      </c>
      <c r="S37" s="68">
        <f t="shared" si="4"/>
        <v>0</v>
      </c>
      <c r="T37" s="310">
        <f t="shared" si="5"/>
        <v>0</v>
      </c>
      <c r="V37" s="120">
        <f>'As-Filed Schedule 2D'!N37</f>
        <v>0</v>
      </c>
      <c r="W37" s="313">
        <f>SUMIFS(Adjustments!$G:$G,Adjustments!$H:$H,"2D",Adjustments!$I:$I,'Schedule 2D Adjustments'!$V$12,Adjustments!$J:$J,'Schedule 2D Adjustments'!$A37)</f>
        <v>0</v>
      </c>
      <c r="X37" s="309">
        <f t="shared" si="6"/>
        <v>0</v>
      </c>
      <c r="Y37" s="120">
        <f>'As-Filed Schedule 2D'!O37</f>
        <v>0</v>
      </c>
      <c r="Z37" s="313">
        <f>SUMIFS(Adjustments!$G:$G,Adjustments!$H:$H,"2D",Adjustments!$I:$I,'Schedule 2D Adjustments'!$Y$12,Adjustments!$J:$J,'Schedule 2D Adjustments'!$A37)</f>
        <v>0</v>
      </c>
      <c r="AA37" s="309">
        <f t="shared" si="7"/>
        <v>0</v>
      </c>
    </row>
    <row r="38" spans="1:27" x14ac:dyDescent="0.35">
      <c r="A38" s="24">
        <v>24</v>
      </c>
      <c r="B38" s="507" t="str">
        <f>IF('As-Filed Schedule 2D'!B38:D38=0,"",'As-Filed Schedule 2D'!B38:D38)</f>
        <v/>
      </c>
      <c r="C38" s="507"/>
      <c r="D38" s="507"/>
      <c r="F38" s="117">
        <f>'As-Filed Schedule 2D'!F38</f>
        <v>0</v>
      </c>
      <c r="G38" s="313">
        <f>SUMIFS(Adjustments!$G:$G,Adjustments!$H:$H,"2D",Adjustments!$I:$I,'Schedule 2D Adjustments'!$F$12,Adjustments!$J:$J,'Schedule 2D Adjustments'!$A38)</f>
        <v>0</v>
      </c>
      <c r="H38" s="309">
        <f t="shared" si="0"/>
        <v>0</v>
      </c>
      <c r="I38" s="68">
        <f>IFERROR(F38*'As-Filed Schedule 1'!$E$103,0)</f>
        <v>0</v>
      </c>
      <c r="J38" s="310">
        <f>IFERROR(H38*'Adjusted Schedule 1'!$E$104,0)</f>
        <v>0</v>
      </c>
      <c r="K38" s="68">
        <f t="shared" si="1"/>
        <v>0</v>
      </c>
      <c r="L38" s="310">
        <f t="shared" si="2"/>
        <v>0</v>
      </c>
      <c r="N38" s="117">
        <f>'As-Filed Schedule 2D'!J38</f>
        <v>0</v>
      </c>
      <c r="O38" s="313">
        <f>SUMIFS(Adjustments!$G:$G,Adjustments!$H:$H,"2D",Adjustments!$I:$I,'Schedule 2D Adjustments'!$N$12,Adjustments!$J:$J,'Schedule 2D Adjustments'!$A38)</f>
        <v>0</v>
      </c>
      <c r="P38" s="309">
        <f t="shared" si="3"/>
        <v>0</v>
      </c>
      <c r="Q38" s="68">
        <f>IFERROR(N38*'As-Filed Schedule 1'!$E$103,0)</f>
        <v>0</v>
      </c>
      <c r="R38" s="68">
        <f>IFERROR(P38*'Adjusted Schedule 1'!$E$104,0)</f>
        <v>0</v>
      </c>
      <c r="S38" s="68">
        <f t="shared" si="4"/>
        <v>0</v>
      </c>
      <c r="T38" s="310">
        <f t="shared" si="5"/>
        <v>0</v>
      </c>
      <c r="V38" s="120">
        <f>'As-Filed Schedule 2D'!N38</f>
        <v>0</v>
      </c>
      <c r="W38" s="313">
        <f>SUMIFS(Adjustments!$G:$G,Adjustments!$H:$H,"2D",Adjustments!$I:$I,'Schedule 2D Adjustments'!$V$12,Adjustments!$J:$J,'Schedule 2D Adjustments'!$A38)</f>
        <v>0</v>
      </c>
      <c r="X38" s="309">
        <f t="shared" si="6"/>
        <v>0</v>
      </c>
      <c r="Y38" s="120">
        <f>'As-Filed Schedule 2D'!O38</f>
        <v>0</v>
      </c>
      <c r="Z38" s="313">
        <f>SUMIFS(Adjustments!$G:$G,Adjustments!$H:$H,"2D",Adjustments!$I:$I,'Schedule 2D Adjustments'!$Y$12,Adjustments!$J:$J,'Schedule 2D Adjustments'!$A38)</f>
        <v>0</v>
      </c>
      <c r="AA38" s="309">
        <f t="shared" si="7"/>
        <v>0</v>
      </c>
    </row>
    <row r="39" spans="1:27" x14ac:dyDescent="0.35">
      <c r="A39" s="24">
        <v>25</v>
      </c>
      <c r="B39" s="507" t="str">
        <f>IF('As-Filed Schedule 2D'!B39:D39=0,"",'As-Filed Schedule 2D'!B39:D39)</f>
        <v/>
      </c>
      <c r="C39" s="507"/>
      <c r="D39" s="507"/>
      <c r="F39" s="117">
        <f>'As-Filed Schedule 2D'!F39</f>
        <v>0</v>
      </c>
      <c r="G39" s="313">
        <f>SUMIFS(Adjustments!$G:$G,Adjustments!$H:$H,"2D",Adjustments!$I:$I,'Schedule 2D Adjustments'!$F$12,Adjustments!$J:$J,'Schedule 2D Adjustments'!$A39)</f>
        <v>0</v>
      </c>
      <c r="H39" s="309">
        <f t="shared" si="0"/>
        <v>0</v>
      </c>
      <c r="I39" s="68">
        <f>IFERROR(F39*'As-Filed Schedule 1'!$E$103,0)</f>
        <v>0</v>
      </c>
      <c r="J39" s="310">
        <f>IFERROR(H39*'Adjusted Schedule 1'!$E$104,0)</f>
        <v>0</v>
      </c>
      <c r="K39" s="68">
        <f t="shared" si="1"/>
        <v>0</v>
      </c>
      <c r="L39" s="310">
        <f t="shared" si="2"/>
        <v>0</v>
      </c>
      <c r="N39" s="117">
        <f>'As-Filed Schedule 2D'!J39</f>
        <v>0</v>
      </c>
      <c r="O39" s="313">
        <f>SUMIFS(Adjustments!$G:$G,Adjustments!$H:$H,"2D",Adjustments!$I:$I,'Schedule 2D Adjustments'!$N$12,Adjustments!$J:$J,'Schedule 2D Adjustments'!$A39)</f>
        <v>0</v>
      </c>
      <c r="P39" s="309">
        <f t="shared" si="3"/>
        <v>0</v>
      </c>
      <c r="Q39" s="68">
        <f>IFERROR(N39*'As-Filed Schedule 1'!$E$103,0)</f>
        <v>0</v>
      </c>
      <c r="R39" s="68">
        <f>IFERROR(P39*'Adjusted Schedule 1'!$E$104,0)</f>
        <v>0</v>
      </c>
      <c r="S39" s="68">
        <f t="shared" si="4"/>
        <v>0</v>
      </c>
      <c r="T39" s="310">
        <f t="shared" si="5"/>
        <v>0</v>
      </c>
      <c r="V39" s="120">
        <f>'As-Filed Schedule 2D'!N39</f>
        <v>0</v>
      </c>
      <c r="W39" s="313">
        <f>SUMIFS(Adjustments!$G:$G,Adjustments!$H:$H,"2D",Adjustments!$I:$I,'Schedule 2D Adjustments'!$V$12,Adjustments!$J:$J,'Schedule 2D Adjustments'!$A39)</f>
        <v>0</v>
      </c>
      <c r="X39" s="309">
        <f t="shared" si="6"/>
        <v>0</v>
      </c>
      <c r="Y39" s="120">
        <f>'As-Filed Schedule 2D'!O39</f>
        <v>0</v>
      </c>
      <c r="Z39" s="313">
        <f>SUMIFS(Adjustments!$G:$G,Adjustments!$H:$H,"2D",Adjustments!$I:$I,'Schedule 2D Adjustments'!$Y$12,Adjustments!$J:$J,'Schedule 2D Adjustments'!$A39)</f>
        <v>0</v>
      </c>
      <c r="AA39" s="309">
        <f t="shared" si="7"/>
        <v>0</v>
      </c>
    </row>
    <row r="40" spans="1:27" x14ac:dyDescent="0.35">
      <c r="A40" s="24">
        <v>26</v>
      </c>
      <c r="B40" s="507" t="str">
        <f>IF('As-Filed Schedule 2D'!B40:D40=0,"",'As-Filed Schedule 2D'!B40:D40)</f>
        <v/>
      </c>
      <c r="C40" s="507"/>
      <c r="D40" s="507"/>
      <c r="F40" s="117">
        <f>'As-Filed Schedule 2D'!F40</f>
        <v>0</v>
      </c>
      <c r="G40" s="313">
        <f>SUMIFS(Adjustments!$G:$G,Adjustments!$H:$H,"2D",Adjustments!$I:$I,'Schedule 2D Adjustments'!$F$12,Adjustments!$J:$J,'Schedule 2D Adjustments'!$A40)</f>
        <v>0</v>
      </c>
      <c r="H40" s="309">
        <f t="shared" si="0"/>
        <v>0</v>
      </c>
      <c r="I40" s="68">
        <f>IFERROR(F40*'As-Filed Schedule 1'!$E$103,0)</f>
        <v>0</v>
      </c>
      <c r="J40" s="310">
        <f>IFERROR(H40*'Adjusted Schedule 1'!$E$104,0)</f>
        <v>0</v>
      </c>
      <c r="K40" s="68">
        <f t="shared" si="1"/>
        <v>0</v>
      </c>
      <c r="L40" s="310">
        <f t="shared" si="2"/>
        <v>0</v>
      </c>
      <c r="N40" s="117">
        <f>'As-Filed Schedule 2D'!J40</f>
        <v>0</v>
      </c>
      <c r="O40" s="313">
        <f>SUMIFS(Adjustments!$G:$G,Adjustments!$H:$H,"2D",Adjustments!$I:$I,'Schedule 2D Adjustments'!$N$12,Adjustments!$J:$J,'Schedule 2D Adjustments'!$A40)</f>
        <v>0</v>
      </c>
      <c r="P40" s="309">
        <f t="shared" si="3"/>
        <v>0</v>
      </c>
      <c r="Q40" s="68">
        <f>IFERROR(N40*'As-Filed Schedule 1'!$E$103,0)</f>
        <v>0</v>
      </c>
      <c r="R40" s="68">
        <f>IFERROR(P40*'Adjusted Schedule 1'!$E$104,0)</f>
        <v>0</v>
      </c>
      <c r="S40" s="68">
        <f t="shared" si="4"/>
        <v>0</v>
      </c>
      <c r="T40" s="310">
        <f t="shared" si="5"/>
        <v>0</v>
      </c>
      <c r="V40" s="120">
        <f>'As-Filed Schedule 2D'!N40</f>
        <v>0</v>
      </c>
      <c r="W40" s="313">
        <f>SUMIFS(Adjustments!$G:$G,Adjustments!$H:$H,"2D",Adjustments!$I:$I,'Schedule 2D Adjustments'!$V$12,Adjustments!$J:$J,'Schedule 2D Adjustments'!$A40)</f>
        <v>0</v>
      </c>
      <c r="X40" s="309">
        <f t="shared" si="6"/>
        <v>0</v>
      </c>
      <c r="Y40" s="120">
        <f>'As-Filed Schedule 2D'!O40</f>
        <v>0</v>
      </c>
      <c r="Z40" s="313">
        <f>SUMIFS(Adjustments!$G:$G,Adjustments!$H:$H,"2D",Adjustments!$I:$I,'Schedule 2D Adjustments'!$Y$12,Adjustments!$J:$J,'Schedule 2D Adjustments'!$A40)</f>
        <v>0</v>
      </c>
      <c r="AA40" s="309">
        <f t="shared" si="7"/>
        <v>0</v>
      </c>
    </row>
    <row r="41" spans="1:27" x14ac:dyDescent="0.35">
      <c r="A41" s="24">
        <v>27</v>
      </c>
      <c r="B41" s="507" t="str">
        <f>IF('As-Filed Schedule 2D'!B41:D41=0,"",'As-Filed Schedule 2D'!B41:D41)</f>
        <v/>
      </c>
      <c r="C41" s="507"/>
      <c r="D41" s="507"/>
      <c r="F41" s="117">
        <f>'As-Filed Schedule 2D'!F41</f>
        <v>0</v>
      </c>
      <c r="G41" s="313">
        <f>SUMIFS(Adjustments!$G:$G,Adjustments!$H:$H,"2D",Adjustments!$I:$I,'Schedule 2D Adjustments'!$F$12,Adjustments!$J:$J,'Schedule 2D Adjustments'!$A41)</f>
        <v>0</v>
      </c>
      <c r="H41" s="309">
        <f t="shared" si="0"/>
        <v>0</v>
      </c>
      <c r="I41" s="68">
        <f>IFERROR(F41*'As-Filed Schedule 1'!$E$103,0)</f>
        <v>0</v>
      </c>
      <c r="J41" s="310">
        <f>IFERROR(H41*'Adjusted Schedule 1'!$E$104,0)</f>
        <v>0</v>
      </c>
      <c r="K41" s="68">
        <f t="shared" si="1"/>
        <v>0</v>
      </c>
      <c r="L41" s="310">
        <f t="shared" si="2"/>
        <v>0</v>
      </c>
      <c r="N41" s="117">
        <f>'As-Filed Schedule 2D'!J41</f>
        <v>0</v>
      </c>
      <c r="O41" s="313">
        <f>SUMIFS(Adjustments!$G:$G,Adjustments!$H:$H,"2D",Adjustments!$I:$I,'Schedule 2D Adjustments'!$N$12,Adjustments!$J:$J,'Schedule 2D Adjustments'!$A41)</f>
        <v>0</v>
      </c>
      <c r="P41" s="309">
        <f t="shared" si="3"/>
        <v>0</v>
      </c>
      <c r="Q41" s="68">
        <f>IFERROR(N41*'As-Filed Schedule 1'!$E$103,0)</f>
        <v>0</v>
      </c>
      <c r="R41" s="68">
        <f>IFERROR(P41*'Adjusted Schedule 1'!$E$104,0)</f>
        <v>0</v>
      </c>
      <c r="S41" s="68">
        <f t="shared" si="4"/>
        <v>0</v>
      </c>
      <c r="T41" s="310">
        <f t="shared" si="5"/>
        <v>0</v>
      </c>
      <c r="V41" s="120">
        <f>'As-Filed Schedule 2D'!N41</f>
        <v>0</v>
      </c>
      <c r="W41" s="313">
        <f>SUMIFS(Adjustments!$G:$G,Adjustments!$H:$H,"2D",Adjustments!$I:$I,'Schedule 2D Adjustments'!$V$12,Adjustments!$J:$J,'Schedule 2D Adjustments'!$A41)</f>
        <v>0</v>
      </c>
      <c r="X41" s="309">
        <f t="shared" si="6"/>
        <v>0</v>
      </c>
      <c r="Y41" s="120">
        <f>'As-Filed Schedule 2D'!O41</f>
        <v>0</v>
      </c>
      <c r="Z41" s="313">
        <f>SUMIFS(Adjustments!$G:$G,Adjustments!$H:$H,"2D",Adjustments!$I:$I,'Schedule 2D Adjustments'!$Y$12,Adjustments!$J:$J,'Schedule 2D Adjustments'!$A41)</f>
        <v>0</v>
      </c>
      <c r="AA41" s="309">
        <f t="shared" si="7"/>
        <v>0</v>
      </c>
    </row>
    <row r="42" spans="1:27" x14ac:dyDescent="0.35">
      <c r="A42" s="24">
        <v>28</v>
      </c>
      <c r="B42" s="507" t="str">
        <f>IF('As-Filed Schedule 2D'!B42:D42=0,"",'As-Filed Schedule 2D'!B42:D42)</f>
        <v/>
      </c>
      <c r="C42" s="507"/>
      <c r="D42" s="507"/>
      <c r="F42" s="117">
        <f>'As-Filed Schedule 2D'!F42</f>
        <v>0</v>
      </c>
      <c r="G42" s="313">
        <f>SUMIFS(Adjustments!$G:$G,Adjustments!$H:$H,"2D",Adjustments!$I:$I,'Schedule 2D Adjustments'!$F$12,Adjustments!$J:$J,'Schedule 2D Adjustments'!$A42)</f>
        <v>0</v>
      </c>
      <c r="H42" s="309">
        <f t="shared" si="0"/>
        <v>0</v>
      </c>
      <c r="I42" s="68">
        <f>IFERROR(F42*'As-Filed Schedule 1'!$E$103,0)</f>
        <v>0</v>
      </c>
      <c r="J42" s="310">
        <f>IFERROR(H42*'Adjusted Schedule 1'!$E$104,0)</f>
        <v>0</v>
      </c>
      <c r="K42" s="68">
        <f t="shared" si="1"/>
        <v>0</v>
      </c>
      <c r="L42" s="310">
        <f t="shared" si="2"/>
        <v>0</v>
      </c>
      <c r="N42" s="117">
        <f>'As-Filed Schedule 2D'!J42</f>
        <v>0</v>
      </c>
      <c r="O42" s="313">
        <f>SUMIFS(Adjustments!$G:$G,Adjustments!$H:$H,"2D",Adjustments!$I:$I,'Schedule 2D Adjustments'!$N$12,Adjustments!$J:$J,'Schedule 2D Adjustments'!$A42)</f>
        <v>0</v>
      </c>
      <c r="P42" s="309">
        <f t="shared" si="3"/>
        <v>0</v>
      </c>
      <c r="Q42" s="68">
        <f>IFERROR(N42*'As-Filed Schedule 1'!$E$103,0)</f>
        <v>0</v>
      </c>
      <c r="R42" s="68">
        <f>IFERROR(P42*'Adjusted Schedule 1'!$E$104,0)</f>
        <v>0</v>
      </c>
      <c r="S42" s="68">
        <f t="shared" si="4"/>
        <v>0</v>
      </c>
      <c r="T42" s="310">
        <f t="shared" si="5"/>
        <v>0</v>
      </c>
      <c r="V42" s="120">
        <f>'As-Filed Schedule 2D'!N42</f>
        <v>0</v>
      </c>
      <c r="W42" s="313">
        <f>SUMIFS(Adjustments!$G:$G,Adjustments!$H:$H,"2D",Adjustments!$I:$I,'Schedule 2D Adjustments'!$V$12,Adjustments!$J:$J,'Schedule 2D Adjustments'!$A42)</f>
        <v>0</v>
      </c>
      <c r="X42" s="309">
        <f t="shared" si="6"/>
        <v>0</v>
      </c>
      <c r="Y42" s="120">
        <f>'As-Filed Schedule 2D'!O42</f>
        <v>0</v>
      </c>
      <c r="Z42" s="313">
        <f>SUMIFS(Adjustments!$G:$G,Adjustments!$H:$H,"2D",Adjustments!$I:$I,'Schedule 2D Adjustments'!$Y$12,Adjustments!$J:$J,'Schedule 2D Adjustments'!$A42)</f>
        <v>0</v>
      </c>
      <c r="AA42" s="309">
        <f t="shared" si="7"/>
        <v>0</v>
      </c>
    </row>
    <row r="43" spans="1:27" x14ac:dyDescent="0.35">
      <c r="A43" s="24">
        <v>29</v>
      </c>
      <c r="B43" s="507" t="str">
        <f>IF('As-Filed Schedule 2D'!B43:D43=0,"",'As-Filed Schedule 2D'!B43:D43)</f>
        <v/>
      </c>
      <c r="C43" s="507"/>
      <c r="D43" s="507"/>
      <c r="F43" s="117">
        <f>'As-Filed Schedule 2D'!F43</f>
        <v>0</v>
      </c>
      <c r="G43" s="313">
        <f>SUMIFS(Adjustments!$G:$G,Adjustments!$H:$H,"2D",Adjustments!$I:$I,'Schedule 2D Adjustments'!$F$12,Adjustments!$J:$J,'Schedule 2D Adjustments'!$A43)</f>
        <v>0</v>
      </c>
      <c r="H43" s="309">
        <f t="shared" si="0"/>
        <v>0</v>
      </c>
      <c r="I43" s="68">
        <f>IFERROR(F43*'As-Filed Schedule 1'!$E$103,0)</f>
        <v>0</v>
      </c>
      <c r="J43" s="310">
        <f>IFERROR(H43*'Adjusted Schedule 1'!$E$104,0)</f>
        <v>0</v>
      </c>
      <c r="K43" s="68">
        <f t="shared" si="1"/>
        <v>0</v>
      </c>
      <c r="L43" s="310">
        <f t="shared" si="2"/>
        <v>0</v>
      </c>
      <c r="N43" s="117">
        <f>'As-Filed Schedule 2D'!J43</f>
        <v>0</v>
      </c>
      <c r="O43" s="313">
        <f>SUMIFS(Adjustments!$G:$G,Adjustments!$H:$H,"2D",Adjustments!$I:$I,'Schedule 2D Adjustments'!$N$12,Adjustments!$J:$J,'Schedule 2D Adjustments'!$A43)</f>
        <v>0</v>
      </c>
      <c r="P43" s="309">
        <f t="shared" si="3"/>
        <v>0</v>
      </c>
      <c r="Q43" s="68">
        <f>IFERROR(N43*'As-Filed Schedule 1'!$E$103,0)</f>
        <v>0</v>
      </c>
      <c r="R43" s="68">
        <f>IFERROR(P43*'Adjusted Schedule 1'!$E$104,0)</f>
        <v>0</v>
      </c>
      <c r="S43" s="68">
        <f t="shared" si="4"/>
        <v>0</v>
      </c>
      <c r="T43" s="310">
        <f t="shared" si="5"/>
        <v>0</v>
      </c>
      <c r="V43" s="120">
        <f>'As-Filed Schedule 2D'!N43</f>
        <v>0</v>
      </c>
      <c r="W43" s="313">
        <f>SUMIFS(Adjustments!$G:$G,Adjustments!$H:$H,"2D",Adjustments!$I:$I,'Schedule 2D Adjustments'!$V$12,Adjustments!$J:$J,'Schedule 2D Adjustments'!$A43)</f>
        <v>0</v>
      </c>
      <c r="X43" s="309">
        <f t="shared" si="6"/>
        <v>0</v>
      </c>
      <c r="Y43" s="120">
        <f>'As-Filed Schedule 2D'!O43</f>
        <v>0</v>
      </c>
      <c r="Z43" s="313">
        <f>SUMIFS(Adjustments!$G:$G,Adjustments!$H:$H,"2D",Adjustments!$I:$I,'Schedule 2D Adjustments'!$Y$12,Adjustments!$J:$J,'Schedule 2D Adjustments'!$A43)</f>
        <v>0</v>
      </c>
      <c r="AA43" s="309">
        <f t="shared" si="7"/>
        <v>0</v>
      </c>
    </row>
    <row r="44" spans="1:27" x14ac:dyDescent="0.35">
      <c r="A44" s="24">
        <v>30</v>
      </c>
      <c r="B44" s="507" t="str">
        <f>IF('As-Filed Schedule 2D'!B44:D44=0,"",'As-Filed Schedule 2D'!B44:D44)</f>
        <v/>
      </c>
      <c r="C44" s="507"/>
      <c r="D44" s="507"/>
      <c r="F44" s="117">
        <f>'As-Filed Schedule 2D'!F44</f>
        <v>0</v>
      </c>
      <c r="G44" s="313">
        <f>SUMIFS(Adjustments!$G:$G,Adjustments!$H:$H,"2D",Adjustments!$I:$I,'Schedule 2D Adjustments'!$F$12,Adjustments!$J:$J,'Schedule 2D Adjustments'!$A44)</f>
        <v>0</v>
      </c>
      <c r="H44" s="309">
        <f t="shared" si="0"/>
        <v>0</v>
      </c>
      <c r="I44" s="68">
        <f>IFERROR(F44*'As-Filed Schedule 1'!$E$103,0)</f>
        <v>0</v>
      </c>
      <c r="J44" s="310">
        <f>IFERROR(H44*'Adjusted Schedule 1'!$E$104,0)</f>
        <v>0</v>
      </c>
      <c r="K44" s="68">
        <f t="shared" si="1"/>
        <v>0</v>
      </c>
      <c r="L44" s="310">
        <f t="shared" si="2"/>
        <v>0</v>
      </c>
      <c r="N44" s="117">
        <f>'As-Filed Schedule 2D'!J44</f>
        <v>0</v>
      </c>
      <c r="O44" s="313">
        <f>SUMIFS(Adjustments!$G:$G,Adjustments!$H:$H,"2D",Adjustments!$I:$I,'Schedule 2D Adjustments'!$N$12,Adjustments!$J:$J,'Schedule 2D Adjustments'!$A44)</f>
        <v>0</v>
      </c>
      <c r="P44" s="309">
        <f t="shared" si="3"/>
        <v>0</v>
      </c>
      <c r="Q44" s="68">
        <f>IFERROR(N44*'As-Filed Schedule 1'!$E$103,0)</f>
        <v>0</v>
      </c>
      <c r="R44" s="68">
        <f>IFERROR(P44*'Adjusted Schedule 1'!$E$104,0)</f>
        <v>0</v>
      </c>
      <c r="S44" s="68">
        <f t="shared" si="4"/>
        <v>0</v>
      </c>
      <c r="T44" s="310">
        <f t="shared" si="5"/>
        <v>0</v>
      </c>
      <c r="V44" s="120">
        <f>'As-Filed Schedule 2D'!N44</f>
        <v>0</v>
      </c>
      <c r="W44" s="313">
        <f>SUMIFS(Adjustments!$G:$G,Adjustments!$H:$H,"2D",Adjustments!$I:$I,'Schedule 2D Adjustments'!$V$12,Adjustments!$J:$J,'Schedule 2D Adjustments'!$A44)</f>
        <v>0</v>
      </c>
      <c r="X44" s="309">
        <f t="shared" si="6"/>
        <v>0</v>
      </c>
      <c r="Y44" s="120">
        <f>'As-Filed Schedule 2D'!O44</f>
        <v>0</v>
      </c>
      <c r="Z44" s="313">
        <f>SUMIFS(Adjustments!$G:$G,Adjustments!$H:$H,"2D",Adjustments!$I:$I,'Schedule 2D Adjustments'!$Y$12,Adjustments!$J:$J,'Schedule 2D Adjustments'!$A44)</f>
        <v>0</v>
      </c>
      <c r="AA44" s="309">
        <f t="shared" si="7"/>
        <v>0</v>
      </c>
    </row>
    <row r="45" spans="1:27" x14ac:dyDescent="0.35">
      <c r="A45" s="24">
        <v>31</v>
      </c>
      <c r="B45" s="507" t="str">
        <f>IF('As-Filed Schedule 2D'!B45:D45=0,"",'As-Filed Schedule 2D'!B45:D45)</f>
        <v/>
      </c>
      <c r="C45" s="507"/>
      <c r="D45" s="507"/>
      <c r="F45" s="117">
        <f>'As-Filed Schedule 2D'!F45</f>
        <v>0</v>
      </c>
      <c r="G45" s="313">
        <f>SUMIFS(Adjustments!$G:$G,Adjustments!$H:$H,"2D",Adjustments!$I:$I,'Schedule 2D Adjustments'!$F$12,Adjustments!$J:$J,'Schedule 2D Adjustments'!$A45)</f>
        <v>0</v>
      </c>
      <c r="H45" s="309">
        <f t="shared" si="0"/>
        <v>0</v>
      </c>
      <c r="I45" s="68">
        <f>IFERROR(F45*'As-Filed Schedule 1'!$E$103,0)</f>
        <v>0</v>
      </c>
      <c r="J45" s="310">
        <f>IFERROR(H45*'Adjusted Schedule 1'!$E$104,0)</f>
        <v>0</v>
      </c>
      <c r="K45" s="68">
        <f t="shared" si="1"/>
        <v>0</v>
      </c>
      <c r="L45" s="310">
        <f t="shared" si="2"/>
        <v>0</v>
      </c>
      <c r="N45" s="117">
        <f>'As-Filed Schedule 2D'!J45</f>
        <v>0</v>
      </c>
      <c r="O45" s="313">
        <f>SUMIFS(Adjustments!$G:$G,Adjustments!$H:$H,"2D",Adjustments!$I:$I,'Schedule 2D Adjustments'!$N$12,Adjustments!$J:$J,'Schedule 2D Adjustments'!$A45)</f>
        <v>0</v>
      </c>
      <c r="P45" s="309">
        <f t="shared" si="3"/>
        <v>0</v>
      </c>
      <c r="Q45" s="68">
        <f>IFERROR(N45*'As-Filed Schedule 1'!$E$103,0)</f>
        <v>0</v>
      </c>
      <c r="R45" s="68">
        <f>IFERROR(P45*'Adjusted Schedule 1'!$E$104,0)</f>
        <v>0</v>
      </c>
      <c r="S45" s="68">
        <f t="shared" si="4"/>
        <v>0</v>
      </c>
      <c r="T45" s="310">
        <f t="shared" si="5"/>
        <v>0</v>
      </c>
      <c r="V45" s="120">
        <f>'As-Filed Schedule 2D'!N45</f>
        <v>0</v>
      </c>
      <c r="W45" s="313">
        <f>SUMIFS(Adjustments!$G:$G,Adjustments!$H:$H,"2D",Adjustments!$I:$I,'Schedule 2D Adjustments'!$V$12,Adjustments!$J:$J,'Schedule 2D Adjustments'!$A45)</f>
        <v>0</v>
      </c>
      <c r="X45" s="309">
        <f t="shared" si="6"/>
        <v>0</v>
      </c>
      <c r="Y45" s="120">
        <f>'As-Filed Schedule 2D'!O45</f>
        <v>0</v>
      </c>
      <c r="Z45" s="313">
        <f>SUMIFS(Adjustments!$G:$G,Adjustments!$H:$H,"2D",Adjustments!$I:$I,'Schedule 2D Adjustments'!$Y$12,Adjustments!$J:$J,'Schedule 2D Adjustments'!$A45)</f>
        <v>0</v>
      </c>
      <c r="AA45" s="309">
        <f t="shared" si="7"/>
        <v>0</v>
      </c>
    </row>
    <row r="46" spans="1:27" x14ac:dyDescent="0.35">
      <c r="A46" s="24">
        <v>32</v>
      </c>
      <c r="B46" s="507" t="str">
        <f>IF('As-Filed Schedule 2D'!B46:D46=0,"",'As-Filed Schedule 2D'!B46:D46)</f>
        <v/>
      </c>
      <c r="C46" s="507"/>
      <c r="D46" s="507"/>
      <c r="F46" s="117">
        <f>'As-Filed Schedule 2D'!F46</f>
        <v>0</v>
      </c>
      <c r="G46" s="313">
        <f>SUMIFS(Adjustments!$G:$G,Adjustments!$H:$H,"2D",Adjustments!$I:$I,'Schedule 2D Adjustments'!$F$12,Adjustments!$J:$J,'Schedule 2D Adjustments'!$A46)</f>
        <v>0</v>
      </c>
      <c r="H46" s="309">
        <f t="shared" si="0"/>
        <v>0</v>
      </c>
      <c r="I46" s="68">
        <f>IFERROR(F46*'As-Filed Schedule 1'!$E$103,0)</f>
        <v>0</v>
      </c>
      <c r="J46" s="310">
        <f>IFERROR(H46*'Adjusted Schedule 1'!$E$104,0)</f>
        <v>0</v>
      </c>
      <c r="K46" s="68">
        <f t="shared" si="1"/>
        <v>0</v>
      </c>
      <c r="L46" s="310">
        <f t="shared" si="2"/>
        <v>0</v>
      </c>
      <c r="N46" s="117">
        <f>'As-Filed Schedule 2D'!J46</f>
        <v>0</v>
      </c>
      <c r="O46" s="313">
        <f>SUMIFS(Adjustments!$G:$G,Adjustments!$H:$H,"2D",Adjustments!$I:$I,'Schedule 2D Adjustments'!$N$12,Adjustments!$J:$J,'Schedule 2D Adjustments'!$A46)</f>
        <v>0</v>
      </c>
      <c r="P46" s="309">
        <f t="shared" si="3"/>
        <v>0</v>
      </c>
      <c r="Q46" s="68">
        <f>IFERROR(N46*'As-Filed Schedule 1'!$E$103,0)</f>
        <v>0</v>
      </c>
      <c r="R46" s="68">
        <f>IFERROR(P46*'Adjusted Schedule 1'!$E$104,0)</f>
        <v>0</v>
      </c>
      <c r="S46" s="68">
        <f t="shared" si="4"/>
        <v>0</v>
      </c>
      <c r="T46" s="310">
        <f t="shared" si="5"/>
        <v>0</v>
      </c>
      <c r="V46" s="120">
        <f>'As-Filed Schedule 2D'!N46</f>
        <v>0</v>
      </c>
      <c r="W46" s="313">
        <f>SUMIFS(Adjustments!$G:$G,Adjustments!$H:$H,"2D",Adjustments!$I:$I,'Schedule 2D Adjustments'!$V$12,Adjustments!$J:$J,'Schedule 2D Adjustments'!$A46)</f>
        <v>0</v>
      </c>
      <c r="X46" s="309">
        <f t="shared" si="6"/>
        <v>0</v>
      </c>
      <c r="Y46" s="120">
        <f>'As-Filed Schedule 2D'!O46</f>
        <v>0</v>
      </c>
      <c r="Z46" s="313">
        <f>SUMIFS(Adjustments!$G:$G,Adjustments!$H:$H,"2D",Adjustments!$I:$I,'Schedule 2D Adjustments'!$Y$12,Adjustments!$J:$J,'Schedule 2D Adjustments'!$A46)</f>
        <v>0</v>
      </c>
      <c r="AA46" s="309">
        <f t="shared" si="7"/>
        <v>0</v>
      </c>
    </row>
    <row r="47" spans="1:27" x14ac:dyDescent="0.35">
      <c r="A47" s="24">
        <v>33</v>
      </c>
      <c r="B47" s="507" t="str">
        <f>IF('As-Filed Schedule 2D'!B47:D47=0,"",'As-Filed Schedule 2D'!B47:D47)</f>
        <v/>
      </c>
      <c r="C47" s="507"/>
      <c r="D47" s="507"/>
      <c r="F47" s="117">
        <f>'As-Filed Schedule 2D'!F47</f>
        <v>0</v>
      </c>
      <c r="G47" s="313">
        <f>SUMIFS(Adjustments!$G:$G,Adjustments!$H:$H,"2D",Adjustments!$I:$I,'Schedule 2D Adjustments'!$F$12,Adjustments!$J:$J,'Schedule 2D Adjustments'!$A47)</f>
        <v>0</v>
      </c>
      <c r="H47" s="309">
        <f t="shared" si="0"/>
        <v>0</v>
      </c>
      <c r="I47" s="68">
        <f>IFERROR(F47*'As-Filed Schedule 1'!$E$103,0)</f>
        <v>0</v>
      </c>
      <c r="J47" s="310">
        <f>IFERROR(H47*'Adjusted Schedule 1'!$E$104,0)</f>
        <v>0</v>
      </c>
      <c r="K47" s="68">
        <f t="shared" si="1"/>
        <v>0</v>
      </c>
      <c r="L47" s="310">
        <f t="shared" si="2"/>
        <v>0</v>
      </c>
      <c r="N47" s="117">
        <f>'As-Filed Schedule 2D'!J47</f>
        <v>0</v>
      </c>
      <c r="O47" s="313">
        <f>SUMIFS(Adjustments!$G:$G,Adjustments!$H:$H,"2D",Adjustments!$I:$I,'Schedule 2D Adjustments'!$N$12,Adjustments!$J:$J,'Schedule 2D Adjustments'!$A47)</f>
        <v>0</v>
      </c>
      <c r="P47" s="309">
        <f t="shared" si="3"/>
        <v>0</v>
      </c>
      <c r="Q47" s="68">
        <f>IFERROR(N47*'As-Filed Schedule 1'!$E$103,0)</f>
        <v>0</v>
      </c>
      <c r="R47" s="68">
        <f>IFERROR(P47*'Adjusted Schedule 1'!$E$104,0)</f>
        <v>0</v>
      </c>
      <c r="S47" s="68">
        <f t="shared" si="4"/>
        <v>0</v>
      </c>
      <c r="T47" s="310">
        <f t="shared" si="5"/>
        <v>0</v>
      </c>
      <c r="V47" s="120">
        <f>'As-Filed Schedule 2D'!N47</f>
        <v>0</v>
      </c>
      <c r="W47" s="313">
        <f>SUMIFS(Adjustments!$G:$G,Adjustments!$H:$H,"2D",Adjustments!$I:$I,'Schedule 2D Adjustments'!$V$12,Adjustments!$J:$J,'Schedule 2D Adjustments'!$A47)</f>
        <v>0</v>
      </c>
      <c r="X47" s="309">
        <f t="shared" si="6"/>
        <v>0</v>
      </c>
      <c r="Y47" s="120">
        <f>'As-Filed Schedule 2D'!O47</f>
        <v>0</v>
      </c>
      <c r="Z47" s="313">
        <f>SUMIFS(Adjustments!$G:$G,Adjustments!$H:$H,"2D",Adjustments!$I:$I,'Schedule 2D Adjustments'!$Y$12,Adjustments!$J:$J,'Schedule 2D Adjustments'!$A47)</f>
        <v>0</v>
      </c>
      <c r="AA47" s="309">
        <f t="shared" si="7"/>
        <v>0</v>
      </c>
    </row>
    <row r="48" spans="1:27" x14ac:dyDescent="0.35">
      <c r="A48" s="24">
        <v>34</v>
      </c>
      <c r="B48" s="507" t="str">
        <f>IF('As-Filed Schedule 2D'!B48:D48=0,"",'As-Filed Schedule 2D'!B48:D48)</f>
        <v/>
      </c>
      <c r="C48" s="507"/>
      <c r="D48" s="507"/>
      <c r="F48" s="117">
        <f>'As-Filed Schedule 2D'!F48</f>
        <v>0</v>
      </c>
      <c r="G48" s="313">
        <f>SUMIFS(Adjustments!$G:$G,Adjustments!$H:$H,"2D",Adjustments!$I:$I,'Schedule 2D Adjustments'!$F$12,Adjustments!$J:$J,'Schedule 2D Adjustments'!$A48)</f>
        <v>0</v>
      </c>
      <c r="H48" s="309">
        <f t="shared" si="0"/>
        <v>0</v>
      </c>
      <c r="I48" s="68">
        <f>IFERROR(F48*'As-Filed Schedule 1'!$E$103,0)</f>
        <v>0</v>
      </c>
      <c r="J48" s="310">
        <f>IFERROR(H48*'Adjusted Schedule 1'!$E$104,0)</f>
        <v>0</v>
      </c>
      <c r="K48" s="68">
        <f t="shared" si="1"/>
        <v>0</v>
      </c>
      <c r="L48" s="310">
        <f t="shared" si="2"/>
        <v>0</v>
      </c>
      <c r="N48" s="117">
        <f>'As-Filed Schedule 2D'!J48</f>
        <v>0</v>
      </c>
      <c r="O48" s="313">
        <f>SUMIFS(Adjustments!$G:$G,Adjustments!$H:$H,"2D",Adjustments!$I:$I,'Schedule 2D Adjustments'!$N$12,Adjustments!$J:$J,'Schedule 2D Adjustments'!$A48)</f>
        <v>0</v>
      </c>
      <c r="P48" s="309">
        <f t="shared" si="3"/>
        <v>0</v>
      </c>
      <c r="Q48" s="68">
        <f>IFERROR(N48*'As-Filed Schedule 1'!$E$103,0)</f>
        <v>0</v>
      </c>
      <c r="R48" s="68">
        <f>IFERROR(P48*'Adjusted Schedule 1'!$E$104,0)</f>
        <v>0</v>
      </c>
      <c r="S48" s="68">
        <f t="shared" si="4"/>
        <v>0</v>
      </c>
      <c r="T48" s="310">
        <f t="shared" si="5"/>
        <v>0</v>
      </c>
      <c r="V48" s="120">
        <f>'As-Filed Schedule 2D'!N48</f>
        <v>0</v>
      </c>
      <c r="W48" s="313">
        <f>SUMIFS(Adjustments!$G:$G,Adjustments!$H:$H,"2D",Adjustments!$I:$I,'Schedule 2D Adjustments'!$V$12,Adjustments!$J:$J,'Schedule 2D Adjustments'!$A48)</f>
        <v>0</v>
      </c>
      <c r="X48" s="309">
        <f t="shared" si="6"/>
        <v>0</v>
      </c>
      <c r="Y48" s="120">
        <f>'As-Filed Schedule 2D'!O48</f>
        <v>0</v>
      </c>
      <c r="Z48" s="313">
        <f>SUMIFS(Adjustments!$G:$G,Adjustments!$H:$H,"2D",Adjustments!$I:$I,'Schedule 2D Adjustments'!$Y$12,Adjustments!$J:$J,'Schedule 2D Adjustments'!$A48)</f>
        <v>0</v>
      </c>
      <c r="AA48" s="309">
        <f t="shared" si="7"/>
        <v>0</v>
      </c>
    </row>
    <row r="49" spans="1:27" x14ac:dyDescent="0.35">
      <c r="A49" s="24">
        <v>35</v>
      </c>
      <c r="B49" s="507" t="str">
        <f>IF('As-Filed Schedule 2D'!B49:D49=0,"",'As-Filed Schedule 2D'!B49:D49)</f>
        <v/>
      </c>
      <c r="C49" s="507"/>
      <c r="D49" s="507"/>
      <c r="F49" s="117">
        <f>'As-Filed Schedule 2D'!F49</f>
        <v>0</v>
      </c>
      <c r="G49" s="313">
        <f>SUMIFS(Adjustments!$G:$G,Adjustments!$H:$H,"2D",Adjustments!$I:$I,'Schedule 2D Adjustments'!$F$12,Adjustments!$J:$J,'Schedule 2D Adjustments'!$A49)</f>
        <v>0</v>
      </c>
      <c r="H49" s="309">
        <f t="shared" si="0"/>
        <v>0</v>
      </c>
      <c r="I49" s="68">
        <f>IFERROR(F49*'As-Filed Schedule 1'!$E$103,0)</f>
        <v>0</v>
      </c>
      <c r="J49" s="310">
        <f>IFERROR(H49*'Adjusted Schedule 1'!$E$104,0)</f>
        <v>0</v>
      </c>
      <c r="K49" s="68">
        <f t="shared" si="1"/>
        <v>0</v>
      </c>
      <c r="L49" s="310">
        <f t="shared" si="2"/>
        <v>0</v>
      </c>
      <c r="N49" s="117">
        <f>'As-Filed Schedule 2D'!J49</f>
        <v>0</v>
      </c>
      <c r="O49" s="313">
        <f>SUMIFS(Adjustments!$G:$G,Adjustments!$H:$H,"2D",Adjustments!$I:$I,'Schedule 2D Adjustments'!$N$12,Adjustments!$J:$J,'Schedule 2D Adjustments'!$A49)</f>
        <v>0</v>
      </c>
      <c r="P49" s="309">
        <f t="shared" si="3"/>
        <v>0</v>
      </c>
      <c r="Q49" s="68">
        <f>IFERROR(N49*'As-Filed Schedule 1'!$E$103,0)</f>
        <v>0</v>
      </c>
      <c r="R49" s="68">
        <f>IFERROR(P49*'Adjusted Schedule 1'!$E$104,0)</f>
        <v>0</v>
      </c>
      <c r="S49" s="68">
        <f t="shared" si="4"/>
        <v>0</v>
      </c>
      <c r="T49" s="310">
        <f t="shared" si="5"/>
        <v>0</v>
      </c>
      <c r="V49" s="120">
        <f>'As-Filed Schedule 2D'!N49</f>
        <v>0</v>
      </c>
      <c r="W49" s="313">
        <f>SUMIFS(Adjustments!$G:$G,Adjustments!$H:$H,"2D",Adjustments!$I:$I,'Schedule 2D Adjustments'!$V$12,Adjustments!$J:$J,'Schedule 2D Adjustments'!$A49)</f>
        <v>0</v>
      </c>
      <c r="X49" s="309">
        <f t="shared" si="6"/>
        <v>0</v>
      </c>
      <c r="Y49" s="120">
        <f>'As-Filed Schedule 2D'!O49</f>
        <v>0</v>
      </c>
      <c r="Z49" s="313">
        <f>SUMIFS(Adjustments!$G:$G,Adjustments!$H:$H,"2D",Adjustments!$I:$I,'Schedule 2D Adjustments'!$Y$12,Adjustments!$J:$J,'Schedule 2D Adjustments'!$A49)</f>
        <v>0</v>
      </c>
      <c r="AA49" s="309">
        <f t="shared" si="7"/>
        <v>0</v>
      </c>
    </row>
    <row r="50" spans="1:27" x14ac:dyDescent="0.35">
      <c r="A50" s="24">
        <v>36</v>
      </c>
      <c r="B50" s="507" t="str">
        <f>IF('As-Filed Schedule 2D'!B50:D50=0,"",'As-Filed Schedule 2D'!B50:D50)</f>
        <v/>
      </c>
      <c r="C50" s="507"/>
      <c r="D50" s="507"/>
      <c r="F50" s="117">
        <f>'As-Filed Schedule 2D'!F50</f>
        <v>0</v>
      </c>
      <c r="G50" s="313">
        <f>SUMIFS(Adjustments!$G:$G,Adjustments!$H:$H,"2D",Adjustments!$I:$I,'Schedule 2D Adjustments'!$F$12,Adjustments!$J:$J,'Schedule 2D Adjustments'!$A50)</f>
        <v>0</v>
      </c>
      <c r="H50" s="309">
        <f t="shared" si="0"/>
        <v>0</v>
      </c>
      <c r="I50" s="68">
        <f>IFERROR(F50*'As-Filed Schedule 1'!$E$103,0)</f>
        <v>0</v>
      </c>
      <c r="J50" s="310">
        <f>IFERROR(H50*'Adjusted Schedule 1'!$E$104,0)</f>
        <v>0</v>
      </c>
      <c r="K50" s="68">
        <f t="shared" si="1"/>
        <v>0</v>
      </c>
      <c r="L50" s="310">
        <f t="shared" si="2"/>
        <v>0</v>
      </c>
      <c r="N50" s="117">
        <f>'As-Filed Schedule 2D'!J50</f>
        <v>0</v>
      </c>
      <c r="O50" s="313">
        <f>SUMIFS(Adjustments!$G:$G,Adjustments!$H:$H,"2D",Adjustments!$I:$I,'Schedule 2D Adjustments'!$N$12,Adjustments!$J:$J,'Schedule 2D Adjustments'!$A50)</f>
        <v>0</v>
      </c>
      <c r="P50" s="309">
        <f t="shared" si="3"/>
        <v>0</v>
      </c>
      <c r="Q50" s="68">
        <f>IFERROR(N50*'As-Filed Schedule 1'!$E$103,0)</f>
        <v>0</v>
      </c>
      <c r="R50" s="68">
        <f>IFERROR(P50*'Adjusted Schedule 1'!$E$104,0)</f>
        <v>0</v>
      </c>
      <c r="S50" s="68">
        <f t="shared" si="4"/>
        <v>0</v>
      </c>
      <c r="T50" s="310">
        <f t="shared" si="5"/>
        <v>0</v>
      </c>
      <c r="V50" s="120">
        <f>'As-Filed Schedule 2D'!N50</f>
        <v>0</v>
      </c>
      <c r="W50" s="313">
        <f>SUMIFS(Adjustments!$G:$G,Adjustments!$H:$H,"2D",Adjustments!$I:$I,'Schedule 2D Adjustments'!$V$12,Adjustments!$J:$J,'Schedule 2D Adjustments'!$A50)</f>
        <v>0</v>
      </c>
      <c r="X50" s="309">
        <f t="shared" si="6"/>
        <v>0</v>
      </c>
      <c r="Y50" s="120">
        <f>'As-Filed Schedule 2D'!O50</f>
        <v>0</v>
      </c>
      <c r="Z50" s="313">
        <f>SUMIFS(Adjustments!$G:$G,Adjustments!$H:$H,"2D",Adjustments!$I:$I,'Schedule 2D Adjustments'!$Y$12,Adjustments!$J:$J,'Schedule 2D Adjustments'!$A50)</f>
        <v>0</v>
      </c>
      <c r="AA50" s="309">
        <f t="shared" si="7"/>
        <v>0</v>
      </c>
    </row>
    <row r="51" spans="1:27" x14ac:dyDescent="0.35">
      <c r="A51" s="24">
        <v>37</v>
      </c>
      <c r="B51" s="507" t="str">
        <f>IF('As-Filed Schedule 2D'!B51:D51=0,"",'As-Filed Schedule 2D'!B51:D51)</f>
        <v/>
      </c>
      <c r="C51" s="507"/>
      <c r="D51" s="507"/>
      <c r="F51" s="117">
        <f>'As-Filed Schedule 2D'!F51</f>
        <v>0</v>
      </c>
      <c r="G51" s="313">
        <f>SUMIFS(Adjustments!$G:$G,Adjustments!$H:$H,"2D",Adjustments!$I:$I,'Schedule 2D Adjustments'!$F$12,Adjustments!$J:$J,'Schedule 2D Adjustments'!$A51)</f>
        <v>0</v>
      </c>
      <c r="H51" s="309">
        <f t="shared" si="0"/>
        <v>0</v>
      </c>
      <c r="I51" s="68">
        <f>IFERROR(F51*'As-Filed Schedule 1'!$E$103,0)</f>
        <v>0</v>
      </c>
      <c r="J51" s="310">
        <f>IFERROR(H51*'Adjusted Schedule 1'!$E$104,0)</f>
        <v>0</v>
      </c>
      <c r="K51" s="68">
        <f t="shared" si="1"/>
        <v>0</v>
      </c>
      <c r="L51" s="310">
        <f t="shared" si="2"/>
        <v>0</v>
      </c>
      <c r="N51" s="117">
        <f>'As-Filed Schedule 2D'!J51</f>
        <v>0</v>
      </c>
      <c r="O51" s="313">
        <f>SUMIFS(Adjustments!$G:$G,Adjustments!$H:$H,"2D",Adjustments!$I:$I,'Schedule 2D Adjustments'!$N$12,Adjustments!$J:$J,'Schedule 2D Adjustments'!$A51)</f>
        <v>0</v>
      </c>
      <c r="P51" s="309">
        <f t="shared" si="3"/>
        <v>0</v>
      </c>
      <c r="Q51" s="68">
        <f>IFERROR(N51*'As-Filed Schedule 1'!$E$103,0)</f>
        <v>0</v>
      </c>
      <c r="R51" s="68">
        <f>IFERROR(P51*'Adjusted Schedule 1'!$E$104,0)</f>
        <v>0</v>
      </c>
      <c r="S51" s="68">
        <f t="shared" si="4"/>
        <v>0</v>
      </c>
      <c r="T51" s="310">
        <f t="shared" si="5"/>
        <v>0</v>
      </c>
      <c r="V51" s="120">
        <f>'As-Filed Schedule 2D'!N51</f>
        <v>0</v>
      </c>
      <c r="W51" s="313">
        <f>SUMIFS(Adjustments!$G:$G,Adjustments!$H:$H,"2D",Adjustments!$I:$I,'Schedule 2D Adjustments'!$V$12,Adjustments!$J:$J,'Schedule 2D Adjustments'!$A51)</f>
        <v>0</v>
      </c>
      <c r="X51" s="309">
        <f t="shared" si="6"/>
        <v>0</v>
      </c>
      <c r="Y51" s="120">
        <f>'As-Filed Schedule 2D'!O51</f>
        <v>0</v>
      </c>
      <c r="Z51" s="313">
        <f>SUMIFS(Adjustments!$G:$G,Adjustments!$H:$H,"2D",Adjustments!$I:$I,'Schedule 2D Adjustments'!$Y$12,Adjustments!$J:$J,'Schedule 2D Adjustments'!$A51)</f>
        <v>0</v>
      </c>
      <c r="AA51" s="309">
        <f t="shared" si="7"/>
        <v>0</v>
      </c>
    </row>
    <row r="52" spans="1:27" x14ac:dyDescent="0.35">
      <c r="A52" s="24">
        <v>38</v>
      </c>
      <c r="B52" s="507" t="str">
        <f>IF('As-Filed Schedule 2D'!B52:D52=0,"",'As-Filed Schedule 2D'!B52:D52)</f>
        <v/>
      </c>
      <c r="C52" s="507"/>
      <c r="D52" s="507"/>
      <c r="F52" s="117">
        <f>'As-Filed Schedule 2D'!F52</f>
        <v>0</v>
      </c>
      <c r="G52" s="313">
        <f>SUMIFS(Adjustments!$G:$G,Adjustments!$H:$H,"2D",Adjustments!$I:$I,'Schedule 2D Adjustments'!$F$12,Adjustments!$J:$J,'Schedule 2D Adjustments'!$A52)</f>
        <v>0</v>
      </c>
      <c r="H52" s="309">
        <f t="shared" si="0"/>
        <v>0</v>
      </c>
      <c r="I52" s="68">
        <f>IFERROR(F52*'As-Filed Schedule 1'!$E$103,0)</f>
        <v>0</v>
      </c>
      <c r="J52" s="310">
        <f>IFERROR(H52*'Adjusted Schedule 1'!$E$104,0)</f>
        <v>0</v>
      </c>
      <c r="K52" s="68">
        <f t="shared" si="1"/>
        <v>0</v>
      </c>
      <c r="L52" s="310">
        <f t="shared" si="2"/>
        <v>0</v>
      </c>
      <c r="N52" s="117">
        <f>'As-Filed Schedule 2D'!J52</f>
        <v>0</v>
      </c>
      <c r="O52" s="313">
        <f>SUMIFS(Adjustments!$G:$G,Adjustments!$H:$H,"2D",Adjustments!$I:$I,'Schedule 2D Adjustments'!$N$12,Adjustments!$J:$J,'Schedule 2D Adjustments'!$A52)</f>
        <v>0</v>
      </c>
      <c r="P52" s="309">
        <f t="shared" si="3"/>
        <v>0</v>
      </c>
      <c r="Q52" s="68">
        <f>IFERROR(N52*'As-Filed Schedule 1'!$E$103,0)</f>
        <v>0</v>
      </c>
      <c r="R52" s="68">
        <f>IFERROR(P52*'Adjusted Schedule 1'!$E$104,0)</f>
        <v>0</v>
      </c>
      <c r="S52" s="68">
        <f t="shared" si="4"/>
        <v>0</v>
      </c>
      <c r="T52" s="310">
        <f t="shared" si="5"/>
        <v>0</v>
      </c>
      <c r="V52" s="120">
        <f>'As-Filed Schedule 2D'!N52</f>
        <v>0</v>
      </c>
      <c r="W52" s="313">
        <f>SUMIFS(Adjustments!$G:$G,Adjustments!$H:$H,"2D",Adjustments!$I:$I,'Schedule 2D Adjustments'!$V$12,Adjustments!$J:$J,'Schedule 2D Adjustments'!$A52)</f>
        <v>0</v>
      </c>
      <c r="X52" s="309">
        <f t="shared" si="6"/>
        <v>0</v>
      </c>
      <c r="Y52" s="120">
        <f>'As-Filed Schedule 2D'!O52</f>
        <v>0</v>
      </c>
      <c r="Z52" s="313">
        <f>SUMIFS(Adjustments!$G:$G,Adjustments!$H:$H,"2D",Adjustments!$I:$I,'Schedule 2D Adjustments'!$Y$12,Adjustments!$J:$J,'Schedule 2D Adjustments'!$A52)</f>
        <v>0</v>
      </c>
      <c r="AA52" s="309">
        <f t="shared" si="7"/>
        <v>0</v>
      </c>
    </row>
    <row r="53" spans="1:27" x14ac:dyDescent="0.35">
      <c r="A53" s="24">
        <v>39</v>
      </c>
      <c r="B53" s="507" t="str">
        <f>IF('As-Filed Schedule 2D'!B53:D53=0,"",'As-Filed Schedule 2D'!B53:D53)</f>
        <v/>
      </c>
      <c r="C53" s="507"/>
      <c r="D53" s="507"/>
      <c r="F53" s="117">
        <f>'As-Filed Schedule 2D'!F53</f>
        <v>0</v>
      </c>
      <c r="G53" s="313">
        <f>SUMIFS(Adjustments!$G:$G,Adjustments!$H:$H,"2D",Adjustments!$I:$I,'Schedule 2D Adjustments'!$F$12,Adjustments!$J:$J,'Schedule 2D Adjustments'!$A53)</f>
        <v>0</v>
      </c>
      <c r="H53" s="309">
        <f t="shared" si="0"/>
        <v>0</v>
      </c>
      <c r="I53" s="68">
        <f>IFERROR(F53*'As-Filed Schedule 1'!$E$103,0)</f>
        <v>0</v>
      </c>
      <c r="J53" s="310">
        <f>IFERROR(H53*'Adjusted Schedule 1'!$E$104,0)</f>
        <v>0</v>
      </c>
      <c r="K53" s="68">
        <f t="shared" si="1"/>
        <v>0</v>
      </c>
      <c r="L53" s="310">
        <f t="shared" si="2"/>
        <v>0</v>
      </c>
      <c r="N53" s="117">
        <f>'As-Filed Schedule 2D'!J53</f>
        <v>0</v>
      </c>
      <c r="O53" s="313">
        <f>SUMIFS(Adjustments!$G:$G,Adjustments!$H:$H,"2D",Adjustments!$I:$I,'Schedule 2D Adjustments'!$N$12,Adjustments!$J:$J,'Schedule 2D Adjustments'!$A53)</f>
        <v>0</v>
      </c>
      <c r="P53" s="309">
        <f t="shared" si="3"/>
        <v>0</v>
      </c>
      <c r="Q53" s="68">
        <f>IFERROR(N53*'As-Filed Schedule 1'!$E$103,0)</f>
        <v>0</v>
      </c>
      <c r="R53" s="68">
        <f>IFERROR(P53*'Adjusted Schedule 1'!$E$104,0)</f>
        <v>0</v>
      </c>
      <c r="S53" s="68">
        <f t="shared" si="4"/>
        <v>0</v>
      </c>
      <c r="T53" s="310">
        <f t="shared" si="5"/>
        <v>0</v>
      </c>
      <c r="V53" s="120">
        <f>'As-Filed Schedule 2D'!N53</f>
        <v>0</v>
      </c>
      <c r="W53" s="313">
        <f>SUMIFS(Adjustments!$G:$G,Adjustments!$H:$H,"2D",Adjustments!$I:$I,'Schedule 2D Adjustments'!$V$12,Adjustments!$J:$J,'Schedule 2D Adjustments'!$A53)</f>
        <v>0</v>
      </c>
      <c r="X53" s="309">
        <f t="shared" si="6"/>
        <v>0</v>
      </c>
      <c r="Y53" s="120">
        <f>'As-Filed Schedule 2D'!O53</f>
        <v>0</v>
      </c>
      <c r="Z53" s="313">
        <f>SUMIFS(Adjustments!$G:$G,Adjustments!$H:$H,"2D",Adjustments!$I:$I,'Schedule 2D Adjustments'!$Y$12,Adjustments!$J:$J,'Schedule 2D Adjustments'!$A53)</f>
        <v>0</v>
      </c>
      <c r="AA53" s="309">
        <f t="shared" si="7"/>
        <v>0</v>
      </c>
    </row>
    <row r="54" spans="1:27" x14ac:dyDescent="0.35">
      <c r="A54" s="24">
        <v>40</v>
      </c>
      <c r="B54" s="507" t="str">
        <f>IF('As-Filed Schedule 2D'!B54:D54=0,"",'As-Filed Schedule 2D'!B54:D54)</f>
        <v/>
      </c>
      <c r="C54" s="507"/>
      <c r="D54" s="507"/>
      <c r="F54" s="117">
        <f>'As-Filed Schedule 2D'!F54</f>
        <v>0</v>
      </c>
      <c r="G54" s="313">
        <f>SUMIFS(Adjustments!$G:$G,Adjustments!$H:$H,"2D",Adjustments!$I:$I,'Schedule 2D Adjustments'!$F$12,Adjustments!$J:$J,'Schedule 2D Adjustments'!$A54)</f>
        <v>0</v>
      </c>
      <c r="H54" s="309">
        <f t="shared" si="0"/>
        <v>0</v>
      </c>
      <c r="I54" s="68">
        <f>IFERROR(F54*'As-Filed Schedule 1'!$E$103,0)</f>
        <v>0</v>
      </c>
      <c r="J54" s="310">
        <f>IFERROR(H54*'Adjusted Schedule 1'!$E$104,0)</f>
        <v>0</v>
      </c>
      <c r="K54" s="68">
        <f t="shared" si="1"/>
        <v>0</v>
      </c>
      <c r="L54" s="310">
        <f t="shared" si="2"/>
        <v>0</v>
      </c>
      <c r="N54" s="117">
        <f>'As-Filed Schedule 2D'!J54</f>
        <v>0</v>
      </c>
      <c r="O54" s="313">
        <f>SUMIFS(Adjustments!$G:$G,Adjustments!$H:$H,"2D",Adjustments!$I:$I,'Schedule 2D Adjustments'!$N$12,Adjustments!$J:$J,'Schedule 2D Adjustments'!$A54)</f>
        <v>0</v>
      </c>
      <c r="P54" s="309">
        <f t="shared" si="3"/>
        <v>0</v>
      </c>
      <c r="Q54" s="68">
        <f>IFERROR(N54*'As-Filed Schedule 1'!$E$103,0)</f>
        <v>0</v>
      </c>
      <c r="R54" s="68">
        <f>IFERROR(P54*'Adjusted Schedule 1'!$E$104,0)</f>
        <v>0</v>
      </c>
      <c r="S54" s="68">
        <f t="shared" si="4"/>
        <v>0</v>
      </c>
      <c r="T54" s="310">
        <f t="shared" si="5"/>
        <v>0</v>
      </c>
      <c r="V54" s="120">
        <f>'As-Filed Schedule 2D'!N54</f>
        <v>0</v>
      </c>
      <c r="W54" s="313">
        <f>SUMIFS(Adjustments!$G:$G,Adjustments!$H:$H,"2D",Adjustments!$I:$I,'Schedule 2D Adjustments'!$V$12,Adjustments!$J:$J,'Schedule 2D Adjustments'!$A54)</f>
        <v>0</v>
      </c>
      <c r="X54" s="309">
        <f t="shared" si="6"/>
        <v>0</v>
      </c>
      <c r="Y54" s="120">
        <f>'As-Filed Schedule 2D'!O54</f>
        <v>0</v>
      </c>
      <c r="Z54" s="313">
        <f>SUMIFS(Adjustments!$G:$G,Adjustments!$H:$H,"2D",Adjustments!$I:$I,'Schedule 2D Adjustments'!$Y$12,Adjustments!$J:$J,'Schedule 2D Adjustments'!$A54)</f>
        <v>0</v>
      </c>
      <c r="AA54" s="309">
        <f t="shared" si="7"/>
        <v>0</v>
      </c>
    </row>
    <row r="55" spans="1:27" x14ac:dyDescent="0.35">
      <c r="A55" s="24">
        <v>41</v>
      </c>
      <c r="B55" s="507" t="str">
        <f>IF('As-Filed Schedule 2D'!B55:D55=0,"",'As-Filed Schedule 2D'!B55:D55)</f>
        <v/>
      </c>
      <c r="C55" s="507"/>
      <c r="D55" s="507"/>
      <c r="F55" s="117">
        <f>'As-Filed Schedule 2D'!F55</f>
        <v>0</v>
      </c>
      <c r="G55" s="313">
        <f>SUMIFS(Adjustments!$G:$G,Adjustments!$H:$H,"2D",Adjustments!$I:$I,'Schedule 2D Adjustments'!$F$12,Adjustments!$J:$J,'Schedule 2D Adjustments'!$A55)</f>
        <v>0</v>
      </c>
      <c r="H55" s="309">
        <f t="shared" si="0"/>
        <v>0</v>
      </c>
      <c r="I55" s="68">
        <f>IFERROR(F55*'As-Filed Schedule 1'!$E$103,0)</f>
        <v>0</v>
      </c>
      <c r="J55" s="310">
        <f>IFERROR(H55*'Adjusted Schedule 1'!$E$104,0)</f>
        <v>0</v>
      </c>
      <c r="K55" s="68">
        <f t="shared" si="1"/>
        <v>0</v>
      </c>
      <c r="L55" s="310">
        <f t="shared" si="2"/>
        <v>0</v>
      </c>
      <c r="N55" s="117">
        <f>'As-Filed Schedule 2D'!J55</f>
        <v>0</v>
      </c>
      <c r="O55" s="313">
        <f>SUMIFS(Adjustments!$G:$G,Adjustments!$H:$H,"2D",Adjustments!$I:$I,'Schedule 2D Adjustments'!$N$12,Adjustments!$J:$J,'Schedule 2D Adjustments'!$A55)</f>
        <v>0</v>
      </c>
      <c r="P55" s="309">
        <f t="shared" si="3"/>
        <v>0</v>
      </c>
      <c r="Q55" s="68">
        <f>IFERROR(N55*'As-Filed Schedule 1'!$E$103,0)</f>
        <v>0</v>
      </c>
      <c r="R55" s="68">
        <f>IFERROR(P55*'Adjusted Schedule 1'!$E$104,0)</f>
        <v>0</v>
      </c>
      <c r="S55" s="68">
        <f t="shared" si="4"/>
        <v>0</v>
      </c>
      <c r="T55" s="310">
        <f t="shared" si="5"/>
        <v>0</v>
      </c>
      <c r="V55" s="120">
        <f>'As-Filed Schedule 2D'!N55</f>
        <v>0</v>
      </c>
      <c r="W55" s="313">
        <f>SUMIFS(Adjustments!$G:$G,Adjustments!$H:$H,"2D",Adjustments!$I:$I,'Schedule 2D Adjustments'!$V$12,Adjustments!$J:$J,'Schedule 2D Adjustments'!$A55)</f>
        <v>0</v>
      </c>
      <c r="X55" s="309">
        <f t="shared" si="6"/>
        <v>0</v>
      </c>
      <c r="Y55" s="120">
        <f>'As-Filed Schedule 2D'!O55</f>
        <v>0</v>
      </c>
      <c r="Z55" s="313">
        <f>SUMIFS(Adjustments!$G:$G,Adjustments!$H:$H,"2D",Adjustments!$I:$I,'Schedule 2D Adjustments'!$Y$12,Adjustments!$J:$J,'Schedule 2D Adjustments'!$A55)</f>
        <v>0</v>
      </c>
      <c r="AA55" s="309">
        <f t="shared" si="7"/>
        <v>0</v>
      </c>
    </row>
    <row r="56" spans="1:27" x14ac:dyDescent="0.35">
      <c r="A56" s="24">
        <v>42</v>
      </c>
      <c r="B56" s="507" t="str">
        <f>IF('As-Filed Schedule 2D'!B56:D56=0,"",'As-Filed Schedule 2D'!B56:D56)</f>
        <v/>
      </c>
      <c r="C56" s="507"/>
      <c r="D56" s="507"/>
      <c r="F56" s="117">
        <f>'As-Filed Schedule 2D'!F56</f>
        <v>0</v>
      </c>
      <c r="G56" s="313">
        <f>SUMIFS(Adjustments!$G:$G,Adjustments!$H:$H,"2D",Adjustments!$I:$I,'Schedule 2D Adjustments'!$F$12,Adjustments!$J:$J,'Schedule 2D Adjustments'!$A56)</f>
        <v>0</v>
      </c>
      <c r="H56" s="309">
        <f t="shared" si="0"/>
        <v>0</v>
      </c>
      <c r="I56" s="68">
        <f>IFERROR(F56*'As-Filed Schedule 1'!$E$103,0)</f>
        <v>0</v>
      </c>
      <c r="J56" s="310">
        <f>IFERROR(H56*'Adjusted Schedule 1'!$E$104,0)</f>
        <v>0</v>
      </c>
      <c r="K56" s="68">
        <f t="shared" si="1"/>
        <v>0</v>
      </c>
      <c r="L56" s="310">
        <f t="shared" si="2"/>
        <v>0</v>
      </c>
      <c r="N56" s="117">
        <f>'As-Filed Schedule 2D'!J56</f>
        <v>0</v>
      </c>
      <c r="O56" s="313">
        <f>SUMIFS(Adjustments!$G:$G,Adjustments!$H:$H,"2D",Adjustments!$I:$I,'Schedule 2D Adjustments'!$N$12,Adjustments!$J:$J,'Schedule 2D Adjustments'!$A56)</f>
        <v>0</v>
      </c>
      <c r="P56" s="309">
        <f t="shared" si="3"/>
        <v>0</v>
      </c>
      <c r="Q56" s="68">
        <f>IFERROR(N56*'As-Filed Schedule 1'!$E$103,0)</f>
        <v>0</v>
      </c>
      <c r="R56" s="68">
        <f>IFERROR(P56*'Adjusted Schedule 1'!$E$104,0)</f>
        <v>0</v>
      </c>
      <c r="S56" s="68">
        <f t="shared" si="4"/>
        <v>0</v>
      </c>
      <c r="T56" s="310">
        <f t="shared" si="5"/>
        <v>0</v>
      </c>
      <c r="V56" s="120">
        <f>'As-Filed Schedule 2D'!N56</f>
        <v>0</v>
      </c>
      <c r="W56" s="313">
        <f>SUMIFS(Adjustments!$G:$G,Adjustments!$H:$H,"2D",Adjustments!$I:$I,'Schedule 2D Adjustments'!$V$12,Adjustments!$J:$J,'Schedule 2D Adjustments'!$A56)</f>
        <v>0</v>
      </c>
      <c r="X56" s="309">
        <f t="shared" si="6"/>
        <v>0</v>
      </c>
      <c r="Y56" s="120">
        <f>'As-Filed Schedule 2D'!O56</f>
        <v>0</v>
      </c>
      <c r="Z56" s="313">
        <f>SUMIFS(Adjustments!$G:$G,Adjustments!$H:$H,"2D",Adjustments!$I:$I,'Schedule 2D Adjustments'!$Y$12,Adjustments!$J:$J,'Schedule 2D Adjustments'!$A56)</f>
        <v>0</v>
      </c>
      <c r="AA56" s="309">
        <f t="shared" si="7"/>
        <v>0</v>
      </c>
    </row>
    <row r="57" spans="1:27" x14ac:dyDescent="0.35">
      <c r="A57" s="24">
        <v>43</v>
      </c>
      <c r="B57" s="507" t="str">
        <f>IF('As-Filed Schedule 2D'!B57:D57=0,"",'As-Filed Schedule 2D'!B57:D57)</f>
        <v/>
      </c>
      <c r="C57" s="507"/>
      <c r="D57" s="507"/>
      <c r="F57" s="117">
        <f>'As-Filed Schedule 2D'!F57</f>
        <v>0</v>
      </c>
      <c r="G57" s="313">
        <f>SUMIFS(Adjustments!$G:$G,Adjustments!$H:$H,"2D",Adjustments!$I:$I,'Schedule 2D Adjustments'!$F$12,Adjustments!$J:$J,'Schedule 2D Adjustments'!$A57)</f>
        <v>0</v>
      </c>
      <c r="H57" s="309">
        <f t="shared" si="0"/>
        <v>0</v>
      </c>
      <c r="I57" s="68">
        <f>IFERROR(F57*'As-Filed Schedule 1'!$E$103,0)</f>
        <v>0</v>
      </c>
      <c r="J57" s="310">
        <f>IFERROR(H57*'Adjusted Schedule 1'!$E$104,0)</f>
        <v>0</v>
      </c>
      <c r="K57" s="68">
        <f t="shared" si="1"/>
        <v>0</v>
      </c>
      <c r="L57" s="310">
        <f t="shared" si="2"/>
        <v>0</v>
      </c>
      <c r="N57" s="117">
        <f>'As-Filed Schedule 2D'!J57</f>
        <v>0</v>
      </c>
      <c r="O57" s="313">
        <f>SUMIFS(Adjustments!$G:$G,Adjustments!$H:$H,"2D",Adjustments!$I:$I,'Schedule 2D Adjustments'!$N$12,Adjustments!$J:$J,'Schedule 2D Adjustments'!$A57)</f>
        <v>0</v>
      </c>
      <c r="P57" s="309">
        <f t="shared" si="3"/>
        <v>0</v>
      </c>
      <c r="Q57" s="68">
        <f>IFERROR(N57*'As-Filed Schedule 1'!$E$103,0)</f>
        <v>0</v>
      </c>
      <c r="R57" s="68">
        <f>IFERROR(P57*'Adjusted Schedule 1'!$E$104,0)</f>
        <v>0</v>
      </c>
      <c r="S57" s="68">
        <f t="shared" si="4"/>
        <v>0</v>
      </c>
      <c r="T57" s="310">
        <f t="shared" si="5"/>
        <v>0</v>
      </c>
      <c r="V57" s="120">
        <f>'As-Filed Schedule 2D'!N57</f>
        <v>0</v>
      </c>
      <c r="W57" s="313">
        <f>SUMIFS(Adjustments!$G:$G,Adjustments!$H:$H,"2D",Adjustments!$I:$I,'Schedule 2D Adjustments'!$V$12,Adjustments!$J:$J,'Schedule 2D Adjustments'!$A57)</f>
        <v>0</v>
      </c>
      <c r="X57" s="309">
        <f t="shared" si="6"/>
        <v>0</v>
      </c>
      <c r="Y57" s="120">
        <f>'As-Filed Schedule 2D'!O57</f>
        <v>0</v>
      </c>
      <c r="Z57" s="313">
        <f>SUMIFS(Adjustments!$G:$G,Adjustments!$H:$H,"2D",Adjustments!$I:$I,'Schedule 2D Adjustments'!$Y$12,Adjustments!$J:$J,'Schedule 2D Adjustments'!$A57)</f>
        <v>0</v>
      </c>
      <c r="AA57" s="309">
        <f t="shared" si="7"/>
        <v>0</v>
      </c>
    </row>
    <row r="58" spans="1:27" x14ac:dyDescent="0.35">
      <c r="A58" s="24">
        <v>44</v>
      </c>
      <c r="B58" s="507" t="str">
        <f>IF('As-Filed Schedule 2D'!B58:D58=0,"",'As-Filed Schedule 2D'!B58:D58)</f>
        <v/>
      </c>
      <c r="C58" s="507"/>
      <c r="D58" s="507"/>
      <c r="F58" s="117">
        <f>'As-Filed Schedule 2D'!F58</f>
        <v>0</v>
      </c>
      <c r="G58" s="313">
        <f>SUMIFS(Adjustments!$G:$G,Adjustments!$H:$H,"2D",Adjustments!$I:$I,'Schedule 2D Adjustments'!$F$12,Adjustments!$J:$J,'Schedule 2D Adjustments'!$A58)</f>
        <v>0</v>
      </c>
      <c r="H58" s="309">
        <f t="shared" si="0"/>
        <v>0</v>
      </c>
      <c r="I58" s="68">
        <f>IFERROR(F58*'As-Filed Schedule 1'!$E$103,0)</f>
        <v>0</v>
      </c>
      <c r="J58" s="310">
        <f>IFERROR(H58*'Adjusted Schedule 1'!$E$104,0)</f>
        <v>0</v>
      </c>
      <c r="K58" s="68">
        <f t="shared" si="1"/>
        <v>0</v>
      </c>
      <c r="L58" s="310">
        <f t="shared" si="2"/>
        <v>0</v>
      </c>
      <c r="N58" s="117">
        <f>'As-Filed Schedule 2D'!J58</f>
        <v>0</v>
      </c>
      <c r="O58" s="313">
        <f>SUMIFS(Adjustments!$G:$G,Adjustments!$H:$H,"2D",Adjustments!$I:$I,'Schedule 2D Adjustments'!$N$12,Adjustments!$J:$J,'Schedule 2D Adjustments'!$A58)</f>
        <v>0</v>
      </c>
      <c r="P58" s="309">
        <f t="shared" si="3"/>
        <v>0</v>
      </c>
      <c r="Q58" s="68">
        <f>IFERROR(N58*'As-Filed Schedule 1'!$E$103,0)</f>
        <v>0</v>
      </c>
      <c r="R58" s="68">
        <f>IFERROR(P58*'Adjusted Schedule 1'!$E$104,0)</f>
        <v>0</v>
      </c>
      <c r="S58" s="68">
        <f t="shared" si="4"/>
        <v>0</v>
      </c>
      <c r="T58" s="310">
        <f t="shared" si="5"/>
        <v>0</v>
      </c>
      <c r="V58" s="120">
        <f>'As-Filed Schedule 2D'!N58</f>
        <v>0</v>
      </c>
      <c r="W58" s="313">
        <f>SUMIFS(Adjustments!$G:$G,Adjustments!$H:$H,"2D",Adjustments!$I:$I,'Schedule 2D Adjustments'!$V$12,Adjustments!$J:$J,'Schedule 2D Adjustments'!$A58)</f>
        <v>0</v>
      </c>
      <c r="X58" s="309">
        <f t="shared" si="6"/>
        <v>0</v>
      </c>
      <c r="Y58" s="120">
        <f>'As-Filed Schedule 2D'!O58</f>
        <v>0</v>
      </c>
      <c r="Z58" s="313">
        <f>SUMIFS(Adjustments!$G:$G,Adjustments!$H:$H,"2D",Adjustments!$I:$I,'Schedule 2D Adjustments'!$Y$12,Adjustments!$J:$J,'Schedule 2D Adjustments'!$A58)</f>
        <v>0</v>
      </c>
      <c r="AA58" s="309">
        <f t="shared" si="7"/>
        <v>0</v>
      </c>
    </row>
    <row r="59" spans="1:27" x14ac:dyDescent="0.35">
      <c r="A59" s="24">
        <v>45</v>
      </c>
      <c r="B59" s="507" t="str">
        <f>IF('As-Filed Schedule 2D'!B59:D59=0,"",'As-Filed Schedule 2D'!B59:D59)</f>
        <v/>
      </c>
      <c r="C59" s="507"/>
      <c r="D59" s="507"/>
      <c r="F59" s="117">
        <f>'As-Filed Schedule 2D'!F59</f>
        <v>0</v>
      </c>
      <c r="G59" s="313">
        <f>SUMIFS(Adjustments!$G:$G,Adjustments!$H:$H,"2D",Adjustments!$I:$I,'Schedule 2D Adjustments'!$F$12,Adjustments!$J:$J,'Schedule 2D Adjustments'!$A59)</f>
        <v>0</v>
      </c>
      <c r="H59" s="309">
        <f t="shared" si="0"/>
        <v>0</v>
      </c>
      <c r="I59" s="68">
        <f>IFERROR(F59*'As-Filed Schedule 1'!$E$103,0)</f>
        <v>0</v>
      </c>
      <c r="J59" s="310">
        <f>IFERROR(H59*'Adjusted Schedule 1'!$E$104,0)</f>
        <v>0</v>
      </c>
      <c r="K59" s="68">
        <f t="shared" si="1"/>
        <v>0</v>
      </c>
      <c r="L59" s="310">
        <f t="shared" si="2"/>
        <v>0</v>
      </c>
      <c r="N59" s="117">
        <f>'As-Filed Schedule 2D'!J59</f>
        <v>0</v>
      </c>
      <c r="O59" s="313">
        <f>SUMIFS(Adjustments!$G:$G,Adjustments!$H:$H,"2D",Adjustments!$I:$I,'Schedule 2D Adjustments'!$N$12,Adjustments!$J:$J,'Schedule 2D Adjustments'!$A59)</f>
        <v>0</v>
      </c>
      <c r="P59" s="309">
        <f t="shared" si="3"/>
        <v>0</v>
      </c>
      <c r="Q59" s="68">
        <f>IFERROR(N59*'As-Filed Schedule 1'!$E$103,0)</f>
        <v>0</v>
      </c>
      <c r="R59" s="68">
        <f>IFERROR(P59*'Adjusted Schedule 1'!$E$104,0)</f>
        <v>0</v>
      </c>
      <c r="S59" s="68">
        <f t="shared" si="4"/>
        <v>0</v>
      </c>
      <c r="T59" s="310">
        <f t="shared" si="5"/>
        <v>0</v>
      </c>
      <c r="V59" s="120">
        <f>'As-Filed Schedule 2D'!N59</f>
        <v>0</v>
      </c>
      <c r="W59" s="313">
        <f>SUMIFS(Adjustments!$G:$G,Adjustments!$H:$H,"2D",Adjustments!$I:$I,'Schedule 2D Adjustments'!$V$12,Adjustments!$J:$J,'Schedule 2D Adjustments'!$A59)</f>
        <v>0</v>
      </c>
      <c r="X59" s="309">
        <f t="shared" si="6"/>
        <v>0</v>
      </c>
      <c r="Y59" s="120">
        <f>'As-Filed Schedule 2D'!O59</f>
        <v>0</v>
      </c>
      <c r="Z59" s="313">
        <f>SUMIFS(Adjustments!$G:$G,Adjustments!$H:$H,"2D",Adjustments!$I:$I,'Schedule 2D Adjustments'!$Y$12,Adjustments!$J:$J,'Schedule 2D Adjustments'!$A59)</f>
        <v>0</v>
      </c>
      <c r="AA59" s="309">
        <f t="shared" si="7"/>
        <v>0</v>
      </c>
    </row>
    <row r="60" spans="1:27" x14ac:dyDescent="0.35">
      <c r="A60" s="24">
        <v>46</v>
      </c>
      <c r="B60" s="507" t="str">
        <f>IF('As-Filed Schedule 2D'!B60:D60=0,"",'As-Filed Schedule 2D'!B60:D60)</f>
        <v/>
      </c>
      <c r="C60" s="507"/>
      <c r="D60" s="507"/>
      <c r="F60" s="117">
        <f>'As-Filed Schedule 2D'!F60</f>
        <v>0</v>
      </c>
      <c r="G60" s="313">
        <f>SUMIFS(Adjustments!$G:$G,Adjustments!$H:$H,"2D",Adjustments!$I:$I,'Schedule 2D Adjustments'!$F$12,Adjustments!$J:$J,'Schedule 2D Adjustments'!$A60)</f>
        <v>0</v>
      </c>
      <c r="H60" s="309">
        <f t="shared" si="0"/>
        <v>0</v>
      </c>
      <c r="I60" s="68">
        <f>IFERROR(F60*'As-Filed Schedule 1'!$E$103,0)</f>
        <v>0</v>
      </c>
      <c r="J60" s="310">
        <f>IFERROR(H60*'Adjusted Schedule 1'!$E$104,0)</f>
        <v>0</v>
      </c>
      <c r="K60" s="68">
        <f t="shared" si="1"/>
        <v>0</v>
      </c>
      <c r="L60" s="310">
        <f t="shared" si="2"/>
        <v>0</v>
      </c>
      <c r="N60" s="117">
        <f>'As-Filed Schedule 2D'!J60</f>
        <v>0</v>
      </c>
      <c r="O60" s="313">
        <f>SUMIFS(Adjustments!$G:$G,Adjustments!$H:$H,"2D",Adjustments!$I:$I,'Schedule 2D Adjustments'!$N$12,Adjustments!$J:$J,'Schedule 2D Adjustments'!$A60)</f>
        <v>0</v>
      </c>
      <c r="P60" s="309">
        <f t="shared" si="3"/>
        <v>0</v>
      </c>
      <c r="Q60" s="68">
        <f>IFERROR(N60*'As-Filed Schedule 1'!$E$103,0)</f>
        <v>0</v>
      </c>
      <c r="R60" s="68">
        <f>IFERROR(P60*'Adjusted Schedule 1'!$E$104,0)</f>
        <v>0</v>
      </c>
      <c r="S60" s="68">
        <f t="shared" si="4"/>
        <v>0</v>
      </c>
      <c r="T60" s="310">
        <f t="shared" si="5"/>
        <v>0</v>
      </c>
      <c r="V60" s="120">
        <f>'As-Filed Schedule 2D'!N60</f>
        <v>0</v>
      </c>
      <c r="W60" s="313">
        <f>SUMIFS(Adjustments!$G:$G,Adjustments!$H:$H,"2D",Adjustments!$I:$I,'Schedule 2D Adjustments'!$V$12,Adjustments!$J:$J,'Schedule 2D Adjustments'!$A60)</f>
        <v>0</v>
      </c>
      <c r="X60" s="309">
        <f t="shared" si="6"/>
        <v>0</v>
      </c>
      <c r="Y60" s="120">
        <f>'As-Filed Schedule 2D'!O60</f>
        <v>0</v>
      </c>
      <c r="Z60" s="313">
        <f>SUMIFS(Adjustments!$G:$G,Adjustments!$H:$H,"2D",Adjustments!$I:$I,'Schedule 2D Adjustments'!$Y$12,Adjustments!$J:$J,'Schedule 2D Adjustments'!$A60)</f>
        <v>0</v>
      </c>
      <c r="AA60" s="309">
        <f t="shared" si="7"/>
        <v>0</v>
      </c>
    </row>
    <row r="61" spans="1:27" x14ac:dyDescent="0.35">
      <c r="A61" s="24">
        <v>47</v>
      </c>
      <c r="B61" s="507" t="str">
        <f>IF('As-Filed Schedule 2D'!B61:D61=0,"",'As-Filed Schedule 2D'!B61:D61)</f>
        <v/>
      </c>
      <c r="C61" s="507"/>
      <c r="D61" s="507"/>
      <c r="F61" s="117">
        <f>'As-Filed Schedule 2D'!F61</f>
        <v>0</v>
      </c>
      <c r="G61" s="313">
        <f>SUMIFS(Adjustments!$G:$G,Adjustments!$H:$H,"2D",Adjustments!$I:$I,'Schedule 2D Adjustments'!$F$12,Adjustments!$J:$J,'Schedule 2D Adjustments'!$A61)</f>
        <v>0</v>
      </c>
      <c r="H61" s="309">
        <f t="shared" si="0"/>
        <v>0</v>
      </c>
      <c r="I61" s="68">
        <f>IFERROR(F61*'As-Filed Schedule 1'!$E$103,0)</f>
        <v>0</v>
      </c>
      <c r="J61" s="310">
        <f>IFERROR(H61*'Adjusted Schedule 1'!$E$104,0)</f>
        <v>0</v>
      </c>
      <c r="K61" s="68">
        <f t="shared" si="1"/>
        <v>0</v>
      </c>
      <c r="L61" s="310">
        <f t="shared" si="2"/>
        <v>0</v>
      </c>
      <c r="N61" s="117">
        <f>'As-Filed Schedule 2D'!J61</f>
        <v>0</v>
      </c>
      <c r="O61" s="313">
        <f>SUMIFS(Adjustments!$G:$G,Adjustments!$H:$H,"2D",Adjustments!$I:$I,'Schedule 2D Adjustments'!$N$12,Adjustments!$J:$J,'Schedule 2D Adjustments'!$A61)</f>
        <v>0</v>
      </c>
      <c r="P61" s="309">
        <f t="shared" si="3"/>
        <v>0</v>
      </c>
      <c r="Q61" s="68">
        <f>IFERROR(N61*'As-Filed Schedule 1'!$E$103,0)</f>
        <v>0</v>
      </c>
      <c r="R61" s="68">
        <f>IFERROR(P61*'Adjusted Schedule 1'!$E$104,0)</f>
        <v>0</v>
      </c>
      <c r="S61" s="68">
        <f t="shared" si="4"/>
        <v>0</v>
      </c>
      <c r="T61" s="310">
        <f t="shared" si="5"/>
        <v>0</v>
      </c>
      <c r="V61" s="120">
        <f>'As-Filed Schedule 2D'!N61</f>
        <v>0</v>
      </c>
      <c r="W61" s="313">
        <f>SUMIFS(Adjustments!$G:$G,Adjustments!$H:$H,"2D",Adjustments!$I:$I,'Schedule 2D Adjustments'!$V$12,Adjustments!$J:$J,'Schedule 2D Adjustments'!$A61)</f>
        <v>0</v>
      </c>
      <c r="X61" s="309">
        <f t="shared" si="6"/>
        <v>0</v>
      </c>
      <c r="Y61" s="120">
        <f>'As-Filed Schedule 2D'!O61</f>
        <v>0</v>
      </c>
      <c r="Z61" s="313">
        <f>SUMIFS(Adjustments!$G:$G,Adjustments!$H:$H,"2D",Adjustments!$I:$I,'Schedule 2D Adjustments'!$Y$12,Adjustments!$J:$J,'Schedule 2D Adjustments'!$A61)</f>
        <v>0</v>
      </c>
      <c r="AA61" s="309">
        <f t="shared" si="7"/>
        <v>0</v>
      </c>
    </row>
    <row r="62" spans="1:27" x14ac:dyDescent="0.35">
      <c r="A62" s="24">
        <v>48</v>
      </c>
      <c r="B62" s="507" t="str">
        <f>IF('As-Filed Schedule 2D'!B62:D62=0,"",'As-Filed Schedule 2D'!B62:D62)</f>
        <v/>
      </c>
      <c r="C62" s="507"/>
      <c r="D62" s="507"/>
      <c r="F62" s="117">
        <f>'As-Filed Schedule 2D'!F62</f>
        <v>0</v>
      </c>
      <c r="G62" s="313">
        <f>SUMIFS(Adjustments!$G:$G,Adjustments!$H:$H,"2D",Adjustments!$I:$I,'Schedule 2D Adjustments'!$F$12,Adjustments!$J:$J,'Schedule 2D Adjustments'!$A62)</f>
        <v>0</v>
      </c>
      <c r="H62" s="309">
        <f t="shared" si="0"/>
        <v>0</v>
      </c>
      <c r="I62" s="68">
        <f>IFERROR(F62*'As-Filed Schedule 1'!$E$103,0)</f>
        <v>0</v>
      </c>
      <c r="J62" s="310">
        <f>IFERROR(H62*'Adjusted Schedule 1'!$E$104,0)</f>
        <v>0</v>
      </c>
      <c r="K62" s="68">
        <f t="shared" si="1"/>
        <v>0</v>
      </c>
      <c r="L62" s="310">
        <f t="shared" si="2"/>
        <v>0</v>
      </c>
      <c r="N62" s="117">
        <f>'As-Filed Schedule 2D'!J62</f>
        <v>0</v>
      </c>
      <c r="O62" s="313">
        <f>SUMIFS(Adjustments!$G:$G,Adjustments!$H:$H,"2D",Adjustments!$I:$I,'Schedule 2D Adjustments'!$N$12,Adjustments!$J:$J,'Schedule 2D Adjustments'!$A62)</f>
        <v>0</v>
      </c>
      <c r="P62" s="309">
        <f t="shared" si="3"/>
        <v>0</v>
      </c>
      <c r="Q62" s="68">
        <f>IFERROR(N62*'As-Filed Schedule 1'!$E$103,0)</f>
        <v>0</v>
      </c>
      <c r="R62" s="68">
        <f>IFERROR(P62*'Adjusted Schedule 1'!$E$104,0)</f>
        <v>0</v>
      </c>
      <c r="S62" s="68">
        <f t="shared" si="4"/>
        <v>0</v>
      </c>
      <c r="T62" s="310">
        <f t="shared" si="5"/>
        <v>0</v>
      </c>
      <c r="V62" s="120">
        <f>'As-Filed Schedule 2D'!N62</f>
        <v>0</v>
      </c>
      <c r="W62" s="313">
        <f>SUMIFS(Adjustments!$G:$G,Adjustments!$H:$H,"2D",Adjustments!$I:$I,'Schedule 2D Adjustments'!$V$12,Adjustments!$J:$J,'Schedule 2D Adjustments'!$A62)</f>
        <v>0</v>
      </c>
      <c r="X62" s="309">
        <f t="shared" si="6"/>
        <v>0</v>
      </c>
      <c r="Y62" s="120">
        <f>'As-Filed Schedule 2D'!O62</f>
        <v>0</v>
      </c>
      <c r="Z62" s="313">
        <f>SUMIFS(Adjustments!$G:$G,Adjustments!$H:$H,"2D",Adjustments!$I:$I,'Schedule 2D Adjustments'!$Y$12,Adjustments!$J:$J,'Schedule 2D Adjustments'!$A62)</f>
        <v>0</v>
      </c>
      <c r="AA62" s="309">
        <f t="shared" si="7"/>
        <v>0</v>
      </c>
    </row>
    <row r="63" spans="1:27" x14ac:dyDescent="0.35">
      <c r="A63" s="24">
        <v>49</v>
      </c>
      <c r="B63" s="507" t="str">
        <f>IF('As-Filed Schedule 2D'!B63:D63=0,"",'As-Filed Schedule 2D'!B63:D63)</f>
        <v/>
      </c>
      <c r="C63" s="507"/>
      <c r="D63" s="507"/>
      <c r="F63" s="117">
        <f>'As-Filed Schedule 2D'!F63</f>
        <v>0</v>
      </c>
      <c r="G63" s="313">
        <f>SUMIFS(Adjustments!$G:$G,Adjustments!$H:$H,"2D",Adjustments!$I:$I,'Schedule 2D Adjustments'!$F$12,Adjustments!$J:$J,'Schedule 2D Adjustments'!$A63)</f>
        <v>0</v>
      </c>
      <c r="H63" s="309">
        <f t="shared" si="0"/>
        <v>0</v>
      </c>
      <c r="I63" s="68">
        <f>IFERROR(F63*'As-Filed Schedule 1'!$E$103,0)</f>
        <v>0</v>
      </c>
      <c r="J63" s="310">
        <f>IFERROR(H63*'Adjusted Schedule 1'!$E$104,0)</f>
        <v>0</v>
      </c>
      <c r="K63" s="68">
        <f t="shared" si="1"/>
        <v>0</v>
      </c>
      <c r="L63" s="310">
        <f t="shared" si="2"/>
        <v>0</v>
      </c>
      <c r="N63" s="117">
        <f>'As-Filed Schedule 2D'!J63</f>
        <v>0</v>
      </c>
      <c r="O63" s="313">
        <f>SUMIFS(Adjustments!$G:$G,Adjustments!$H:$H,"2D",Adjustments!$I:$I,'Schedule 2D Adjustments'!$N$12,Adjustments!$J:$J,'Schedule 2D Adjustments'!$A63)</f>
        <v>0</v>
      </c>
      <c r="P63" s="309">
        <f t="shared" si="3"/>
        <v>0</v>
      </c>
      <c r="Q63" s="68">
        <f>IFERROR(N63*'As-Filed Schedule 1'!$E$103,0)</f>
        <v>0</v>
      </c>
      <c r="R63" s="68">
        <f>IFERROR(P63*'Adjusted Schedule 1'!$E$104,0)</f>
        <v>0</v>
      </c>
      <c r="S63" s="68">
        <f t="shared" si="4"/>
        <v>0</v>
      </c>
      <c r="T63" s="310">
        <f t="shared" si="5"/>
        <v>0</v>
      </c>
      <c r="V63" s="120">
        <f>'As-Filed Schedule 2D'!N63</f>
        <v>0</v>
      </c>
      <c r="W63" s="313">
        <f>SUMIFS(Adjustments!$G:$G,Adjustments!$H:$H,"2D",Adjustments!$I:$I,'Schedule 2D Adjustments'!$V$12,Adjustments!$J:$J,'Schedule 2D Adjustments'!$A63)</f>
        <v>0</v>
      </c>
      <c r="X63" s="309">
        <f t="shared" si="6"/>
        <v>0</v>
      </c>
      <c r="Y63" s="120">
        <f>'As-Filed Schedule 2D'!O63</f>
        <v>0</v>
      </c>
      <c r="Z63" s="313">
        <f>SUMIFS(Adjustments!$G:$G,Adjustments!$H:$H,"2D",Adjustments!$I:$I,'Schedule 2D Adjustments'!$Y$12,Adjustments!$J:$J,'Schedule 2D Adjustments'!$A63)</f>
        <v>0</v>
      </c>
      <c r="AA63" s="309">
        <f t="shared" si="7"/>
        <v>0</v>
      </c>
    </row>
    <row r="64" spans="1:27" x14ac:dyDescent="0.35">
      <c r="A64" s="24">
        <v>50</v>
      </c>
      <c r="B64" s="507" t="str">
        <f>IF('As-Filed Schedule 2D'!B64:D64=0,"",'As-Filed Schedule 2D'!B64:D64)</f>
        <v/>
      </c>
      <c r="C64" s="507"/>
      <c r="D64" s="507"/>
      <c r="F64" s="117">
        <f>'As-Filed Schedule 2D'!F64</f>
        <v>0</v>
      </c>
      <c r="G64" s="313">
        <f>SUMIFS(Adjustments!$G:$G,Adjustments!$H:$H,"2D",Adjustments!$I:$I,'Schedule 2D Adjustments'!$F$12,Adjustments!$J:$J,'Schedule 2D Adjustments'!$A64)</f>
        <v>0</v>
      </c>
      <c r="H64" s="309">
        <f t="shared" si="0"/>
        <v>0</v>
      </c>
      <c r="I64" s="68">
        <f>IFERROR(F64*'As-Filed Schedule 1'!$E$103,0)</f>
        <v>0</v>
      </c>
      <c r="J64" s="310">
        <f>IFERROR(H64*'Adjusted Schedule 1'!$E$104,0)</f>
        <v>0</v>
      </c>
      <c r="K64" s="68">
        <f t="shared" si="1"/>
        <v>0</v>
      </c>
      <c r="L64" s="310">
        <f t="shared" si="2"/>
        <v>0</v>
      </c>
      <c r="N64" s="117">
        <f>'As-Filed Schedule 2D'!J64</f>
        <v>0</v>
      </c>
      <c r="O64" s="313">
        <f>SUMIFS(Adjustments!$G:$G,Adjustments!$H:$H,"2D",Adjustments!$I:$I,'Schedule 2D Adjustments'!$N$12,Adjustments!$J:$J,'Schedule 2D Adjustments'!$A64)</f>
        <v>0</v>
      </c>
      <c r="P64" s="309">
        <f t="shared" si="3"/>
        <v>0</v>
      </c>
      <c r="Q64" s="68">
        <f>IFERROR(N64*'As-Filed Schedule 1'!$E$103,0)</f>
        <v>0</v>
      </c>
      <c r="R64" s="68">
        <f>IFERROR(P64*'Adjusted Schedule 1'!$E$104,0)</f>
        <v>0</v>
      </c>
      <c r="S64" s="68">
        <f t="shared" si="4"/>
        <v>0</v>
      </c>
      <c r="T64" s="310">
        <f t="shared" si="5"/>
        <v>0</v>
      </c>
      <c r="V64" s="120">
        <f>'As-Filed Schedule 2D'!N64</f>
        <v>0</v>
      </c>
      <c r="W64" s="313">
        <f>SUMIFS(Adjustments!$G:$G,Adjustments!$H:$H,"2D",Adjustments!$I:$I,'Schedule 2D Adjustments'!$V$12,Adjustments!$J:$J,'Schedule 2D Adjustments'!$A64)</f>
        <v>0</v>
      </c>
      <c r="X64" s="309">
        <f t="shared" si="6"/>
        <v>0</v>
      </c>
      <c r="Y64" s="120">
        <f>'As-Filed Schedule 2D'!O64</f>
        <v>0</v>
      </c>
      <c r="Z64" s="313">
        <f>SUMIFS(Adjustments!$G:$G,Adjustments!$H:$H,"2D",Adjustments!$I:$I,'Schedule 2D Adjustments'!$Y$12,Adjustments!$J:$J,'Schedule 2D Adjustments'!$A64)</f>
        <v>0</v>
      </c>
      <c r="AA64" s="309">
        <f t="shared" si="7"/>
        <v>0</v>
      </c>
    </row>
    <row r="65" spans="1:27" x14ac:dyDescent="0.35">
      <c r="A65" s="24">
        <v>51</v>
      </c>
      <c r="B65" s="507" t="str">
        <f>IF('As-Filed Schedule 2D'!B65:D65=0,"",'As-Filed Schedule 2D'!B65:D65)</f>
        <v/>
      </c>
      <c r="C65" s="507"/>
      <c r="D65" s="507"/>
      <c r="F65" s="117">
        <f>'As-Filed Schedule 2D'!F65</f>
        <v>0</v>
      </c>
      <c r="G65" s="313">
        <f>SUMIFS(Adjustments!$G:$G,Adjustments!$H:$H,"2D",Adjustments!$I:$I,'Schedule 2D Adjustments'!$F$12,Adjustments!$J:$J,'Schedule 2D Adjustments'!$A65)</f>
        <v>0</v>
      </c>
      <c r="H65" s="309">
        <f t="shared" si="0"/>
        <v>0</v>
      </c>
      <c r="I65" s="68">
        <f>IFERROR(F65*'As-Filed Schedule 1'!$E$103,0)</f>
        <v>0</v>
      </c>
      <c r="J65" s="310">
        <f>IFERROR(H65*'Adjusted Schedule 1'!$E$104,0)</f>
        <v>0</v>
      </c>
      <c r="K65" s="68">
        <f t="shared" si="1"/>
        <v>0</v>
      </c>
      <c r="L65" s="310">
        <f t="shared" si="2"/>
        <v>0</v>
      </c>
      <c r="N65" s="117">
        <f>'As-Filed Schedule 2D'!J65</f>
        <v>0</v>
      </c>
      <c r="O65" s="313">
        <f>SUMIFS(Adjustments!$G:$G,Adjustments!$H:$H,"2D",Adjustments!$I:$I,'Schedule 2D Adjustments'!$N$12,Adjustments!$J:$J,'Schedule 2D Adjustments'!$A65)</f>
        <v>0</v>
      </c>
      <c r="P65" s="309">
        <f t="shared" si="3"/>
        <v>0</v>
      </c>
      <c r="Q65" s="68">
        <f>IFERROR(N65*'As-Filed Schedule 1'!$E$103,0)</f>
        <v>0</v>
      </c>
      <c r="R65" s="68">
        <f>IFERROR(P65*'Adjusted Schedule 1'!$E$104,0)</f>
        <v>0</v>
      </c>
      <c r="S65" s="68">
        <f t="shared" si="4"/>
        <v>0</v>
      </c>
      <c r="T65" s="310">
        <f t="shared" si="5"/>
        <v>0</v>
      </c>
      <c r="V65" s="120">
        <f>'As-Filed Schedule 2D'!N65</f>
        <v>0</v>
      </c>
      <c r="W65" s="313">
        <f>SUMIFS(Adjustments!$G:$G,Adjustments!$H:$H,"2D",Adjustments!$I:$I,'Schedule 2D Adjustments'!$V$12,Adjustments!$J:$J,'Schedule 2D Adjustments'!$A65)</f>
        <v>0</v>
      </c>
      <c r="X65" s="309">
        <f t="shared" si="6"/>
        <v>0</v>
      </c>
      <c r="Y65" s="120">
        <f>'As-Filed Schedule 2D'!O65</f>
        <v>0</v>
      </c>
      <c r="Z65" s="313">
        <f>SUMIFS(Adjustments!$G:$G,Adjustments!$H:$H,"2D",Adjustments!$I:$I,'Schedule 2D Adjustments'!$Y$12,Adjustments!$J:$J,'Schedule 2D Adjustments'!$A65)</f>
        <v>0</v>
      </c>
      <c r="AA65" s="309">
        <f t="shared" si="7"/>
        <v>0</v>
      </c>
    </row>
    <row r="66" spans="1:27" x14ac:dyDescent="0.35">
      <c r="A66" s="24">
        <v>52</v>
      </c>
      <c r="B66" s="507" t="str">
        <f>IF('As-Filed Schedule 2D'!B66:D66=0,"",'As-Filed Schedule 2D'!B66:D66)</f>
        <v/>
      </c>
      <c r="C66" s="507"/>
      <c r="D66" s="507"/>
      <c r="F66" s="117">
        <f>'As-Filed Schedule 2D'!F66</f>
        <v>0</v>
      </c>
      <c r="G66" s="313">
        <f>SUMIFS(Adjustments!$G:$G,Adjustments!$H:$H,"2D",Adjustments!$I:$I,'Schedule 2D Adjustments'!$F$12,Adjustments!$J:$J,'Schedule 2D Adjustments'!$A66)</f>
        <v>0</v>
      </c>
      <c r="H66" s="309">
        <f t="shared" si="0"/>
        <v>0</v>
      </c>
      <c r="I66" s="68">
        <f>IFERROR(F66*'As-Filed Schedule 1'!$E$103,0)</f>
        <v>0</v>
      </c>
      <c r="J66" s="310">
        <f>IFERROR(H66*'Adjusted Schedule 1'!$E$104,0)</f>
        <v>0</v>
      </c>
      <c r="K66" s="68">
        <f t="shared" si="1"/>
        <v>0</v>
      </c>
      <c r="L66" s="310">
        <f t="shared" si="2"/>
        <v>0</v>
      </c>
      <c r="N66" s="117">
        <f>'As-Filed Schedule 2D'!J66</f>
        <v>0</v>
      </c>
      <c r="O66" s="313">
        <f>SUMIFS(Adjustments!$G:$G,Adjustments!$H:$H,"2D",Adjustments!$I:$I,'Schedule 2D Adjustments'!$N$12,Adjustments!$J:$J,'Schedule 2D Adjustments'!$A66)</f>
        <v>0</v>
      </c>
      <c r="P66" s="309">
        <f t="shared" si="3"/>
        <v>0</v>
      </c>
      <c r="Q66" s="68">
        <f>IFERROR(N66*'As-Filed Schedule 1'!$E$103,0)</f>
        <v>0</v>
      </c>
      <c r="R66" s="68">
        <f>IFERROR(P66*'Adjusted Schedule 1'!$E$104,0)</f>
        <v>0</v>
      </c>
      <c r="S66" s="68">
        <f t="shared" si="4"/>
        <v>0</v>
      </c>
      <c r="T66" s="310">
        <f t="shared" si="5"/>
        <v>0</v>
      </c>
      <c r="V66" s="120">
        <f>'As-Filed Schedule 2D'!N66</f>
        <v>0</v>
      </c>
      <c r="W66" s="313">
        <f>SUMIFS(Adjustments!$G:$G,Adjustments!$H:$H,"2D",Adjustments!$I:$I,'Schedule 2D Adjustments'!$V$12,Adjustments!$J:$J,'Schedule 2D Adjustments'!$A66)</f>
        <v>0</v>
      </c>
      <c r="X66" s="309">
        <f t="shared" si="6"/>
        <v>0</v>
      </c>
      <c r="Y66" s="120">
        <f>'As-Filed Schedule 2D'!O66</f>
        <v>0</v>
      </c>
      <c r="Z66" s="313">
        <f>SUMIFS(Adjustments!$G:$G,Adjustments!$H:$H,"2D",Adjustments!$I:$I,'Schedule 2D Adjustments'!$Y$12,Adjustments!$J:$J,'Schedule 2D Adjustments'!$A66)</f>
        <v>0</v>
      </c>
      <c r="AA66" s="309">
        <f t="shared" si="7"/>
        <v>0</v>
      </c>
    </row>
    <row r="67" spans="1:27" x14ac:dyDescent="0.35">
      <c r="A67" s="24">
        <v>53</v>
      </c>
      <c r="B67" s="507" t="str">
        <f>IF('As-Filed Schedule 2D'!B67:D67=0,"",'As-Filed Schedule 2D'!B67:D67)</f>
        <v/>
      </c>
      <c r="C67" s="507"/>
      <c r="D67" s="507"/>
      <c r="F67" s="117">
        <f>'As-Filed Schedule 2D'!F67</f>
        <v>0</v>
      </c>
      <c r="G67" s="313">
        <f>SUMIFS(Adjustments!$G:$G,Adjustments!$H:$H,"2D",Adjustments!$I:$I,'Schedule 2D Adjustments'!$F$12,Adjustments!$J:$J,'Schedule 2D Adjustments'!$A67)</f>
        <v>0</v>
      </c>
      <c r="H67" s="309">
        <f t="shared" si="0"/>
        <v>0</v>
      </c>
      <c r="I67" s="68">
        <f>IFERROR(F67*'As-Filed Schedule 1'!$E$103,0)</f>
        <v>0</v>
      </c>
      <c r="J67" s="310">
        <f>IFERROR(H67*'Adjusted Schedule 1'!$E$104,0)</f>
        <v>0</v>
      </c>
      <c r="K67" s="68">
        <f t="shared" si="1"/>
        <v>0</v>
      </c>
      <c r="L67" s="310">
        <f t="shared" si="2"/>
        <v>0</v>
      </c>
      <c r="N67" s="117">
        <f>'As-Filed Schedule 2D'!J67</f>
        <v>0</v>
      </c>
      <c r="O67" s="313">
        <f>SUMIFS(Adjustments!$G:$G,Adjustments!$H:$H,"2D",Adjustments!$I:$I,'Schedule 2D Adjustments'!$N$12,Adjustments!$J:$J,'Schedule 2D Adjustments'!$A67)</f>
        <v>0</v>
      </c>
      <c r="P67" s="309">
        <f t="shared" si="3"/>
        <v>0</v>
      </c>
      <c r="Q67" s="68">
        <f>IFERROR(N67*'As-Filed Schedule 1'!$E$103,0)</f>
        <v>0</v>
      </c>
      <c r="R67" s="68">
        <f>IFERROR(P67*'Adjusted Schedule 1'!$E$104,0)</f>
        <v>0</v>
      </c>
      <c r="S67" s="68">
        <f t="shared" si="4"/>
        <v>0</v>
      </c>
      <c r="T67" s="310">
        <f t="shared" si="5"/>
        <v>0</v>
      </c>
      <c r="V67" s="120">
        <f>'As-Filed Schedule 2D'!N67</f>
        <v>0</v>
      </c>
      <c r="W67" s="313">
        <f>SUMIFS(Adjustments!$G:$G,Adjustments!$H:$H,"2D",Adjustments!$I:$I,'Schedule 2D Adjustments'!$V$12,Adjustments!$J:$J,'Schedule 2D Adjustments'!$A67)</f>
        <v>0</v>
      </c>
      <c r="X67" s="309">
        <f t="shared" si="6"/>
        <v>0</v>
      </c>
      <c r="Y67" s="120">
        <f>'As-Filed Schedule 2D'!O67</f>
        <v>0</v>
      </c>
      <c r="Z67" s="313">
        <f>SUMIFS(Adjustments!$G:$G,Adjustments!$H:$H,"2D",Adjustments!$I:$I,'Schedule 2D Adjustments'!$Y$12,Adjustments!$J:$J,'Schedule 2D Adjustments'!$A67)</f>
        <v>0</v>
      </c>
      <c r="AA67" s="309">
        <f t="shared" si="7"/>
        <v>0</v>
      </c>
    </row>
    <row r="68" spans="1:27" x14ac:dyDescent="0.35">
      <c r="A68" s="24">
        <v>54</v>
      </c>
      <c r="B68" s="507" t="str">
        <f>IF('As-Filed Schedule 2D'!B68:D68=0,"",'As-Filed Schedule 2D'!B68:D68)</f>
        <v/>
      </c>
      <c r="C68" s="507"/>
      <c r="D68" s="507"/>
      <c r="F68" s="117">
        <f>'As-Filed Schedule 2D'!F68</f>
        <v>0</v>
      </c>
      <c r="G68" s="313">
        <f>SUMIFS(Adjustments!$G:$G,Adjustments!$H:$H,"2D",Adjustments!$I:$I,'Schedule 2D Adjustments'!$F$12,Adjustments!$J:$J,'Schedule 2D Adjustments'!$A68)</f>
        <v>0</v>
      </c>
      <c r="H68" s="309">
        <f t="shared" si="0"/>
        <v>0</v>
      </c>
      <c r="I68" s="68">
        <f>IFERROR(F68*'As-Filed Schedule 1'!$E$103,0)</f>
        <v>0</v>
      </c>
      <c r="J68" s="310">
        <f>IFERROR(H68*'Adjusted Schedule 1'!$E$104,0)</f>
        <v>0</v>
      </c>
      <c r="K68" s="68">
        <f t="shared" si="1"/>
        <v>0</v>
      </c>
      <c r="L68" s="310">
        <f t="shared" si="2"/>
        <v>0</v>
      </c>
      <c r="N68" s="117">
        <f>'As-Filed Schedule 2D'!J68</f>
        <v>0</v>
      </c>
      <c r="O68" s="313">
        <f>SUMIFS(Adjustments!$G:$G,Adjustments!$H:$H,"2D",Adjustments!$I:$I,'Schedule 2D Adjustments'!$N$12,Adjustments!$J:$J,'Schedule 2D Adjustments'!$A68)</f>
        <v>0</v>
      </c>
      <c r="P68" s="309">
        <f t="shared" si="3"/>
        <v>0</v>
      </c>
      <c r="Q68" s="68">
        <f>IFERROR(N68*'As-Filed Schedule 1'!$E$103,0)</f>
        <v>0</v>
      </c>
      <c r="R68" s="68">
        <f>IFERROR(P68*'Adjusted Schedule 1'!$E$104,0)</f>
        <v>0</v>
      </c>
      <c r="S68" s="68">
        <f t="shared" si="4"/>
        <v>0</v>
      </c>
      <c r="T68" s="310">
        <f t="shared" si="5"/>
        <v>0</v>
      </c>
      <c r="V68" s="120">
        <f>'As-Filed Schedule 2D'!N68</f>
        <v>0</v>
      </c>
      <c r="W68" s="313">
        <f>SUMIFS(Adjustments!$G:$G,Adjustments!$H:$H,"2D",Adjustments!$I:$I,'Schedule 2D Adjustments'!$V$12,Adjustments!$J:$J,'Schedule 2D Adjustments'!$A68)</f>
        <v>0</v>
      </c>
      <c r="X68" s="309">
        <f t="shared" si="6"/>
        <v>0</v>
      </c>
      <c r="Y68" s="120">
        <f>'As-Filed Schedule 2D'!O68</f>
        <v>0</v>
      </c>
      <c r="Z68" s="313">
        <f>SUMIFS(Adjustments!$G:$G,Adjustments!$H:$H,"2D",Adjustments!$I:$I,'Schedule 2D Adjustments'!$Y$12,Adjustments!$J:$J,'Schedule 2D Adjustments'!$A68)</f>
        <v>0</v>
      </c>
      <c r="AA68" s="309">
        <f t="shared" si="7"/>
        <v>0</v>
      </c>
    </row>
    <row r="69" spans="1:27" x14ac:dyDescent="0.35">
      <c r="A69" s="24">
        <v>55</v>
      </c>
      <c r="B69" s="507" t="str">
        <f>IF('As-Filed Schedule 2D'!B69:D69=0,"",'As-Filed Schedule 2D'!B69:D69)</f>
        <v/>
      </c>
      <c r="C69" s="507"/>
      <c r="D69" s="507"/>
      <c r="F69" s="117">
        <f>'As-Filed Schedule 2D'!F69</f>
        <v>0</v>
      </c>
      <c r="G69" s="313">
        <f>SUMIFS(Adjustments!$G:$G,Adjustments!$H:$H,"2D",Adjustments!$I:$I,'Schedule 2D Adjustments'!$F$12,Adjustments!$J:$J,'Schedule 2D Adjustments'!$A69)</f>
        <v>0</v>
      </c>
      <c r="H69" s="309">
        <f t="shared" si="0"/>
        <v>0</v>
      </c>
      <c r="I69" s="68">
        <f>IFERROR(F69*'As-Filed Schedule 1'!$E$103,0)</f>
        <v>0</v>
      </c>
      <c r="J69" s="310">
        <f>IFERROR(H69*'Adjusted Schedule 1'!$E$104,0)</f>
        <v>0</v>
      </c>
      <c r="K69" s="68">
        <f t="shared" si="1"/>
        <v>0</v>
      </c>
      <c r="L69" s="310">
        <f t="shared" si="2"/>
        <v>0</v>
      </c>
      <c r="N69" s="117">
        <f>'As-Filed Schedule 2D'!J69</f>
        <v>0</v>
      </c>
      <c r="O69" s="313">
        <f>SUMIFS(Adjustments!$G:$G,Adjustments!$H:$H,"2D",Adjustments!$I:$I,'Schedule 2D Adjustments'!$N$12,Adjustments!$J:$J,'Schedule 2D Adjustments'!$A69)</f>
        <v>0</v>
      </c>
      <c r="P69" s="309">
        <f t="shared" si="3"/>
        <v>0</v>
      </c>
      <c r="Q69" s="68">
        <f>IFERROR(N69*'As-Filed Schedule 1'!$E$103,0)</f>
        <v>0</v>
      </c>
      <c r="R69" s="68">
        <f>IFERROR(P69*'Adjusted Schedule 1'!$E$104,0)</f>
        <v>0</v>
      </c>
      <c r="S69" s="68">
        <f t="shared" si="4"/>
        <v>0</v>
      </c>
      <c r="T69" s="310">
        <f t="shared" si="5"/>
        <v>0</v>
      </c>
      <c r="V69" s="120">
        <f>'As-Filed Schedule 2D'!N69</f>
        <v>0</v>
      </c>
      <c r="W69" s="313">
        <f>SUMIFS(Adjustments!$G:$G,Adjustments!$H:$H,"2D",Adjustments!$I:$I,'Schedule 2D Adjustments'!$V$12,Adjustments!$J:$J,'Schedule 2D Adjustments'!$A69)</f>
        <v>0</v>
      </c>
      <c r="X69" s="309">
        <f t="shared" si="6"/>
        <v>0</v>
      </c>
      <c r="Y69" s="120">
        <f>'As-Filed Schedule 2D'!O69</f>
        <v>0</v>
      </c>
      <c r="Z69" s="313">
        <f>SUMIFS(Adjustments!$G:$G,Adjustments!$H:$H,"2D",Adjustments!$I:$I,'Schedule 2D Adjustments'!$Y$12,Adjustments!$J:$J,'Schedule 2D Adjustments'!$A69)</f>
        <v>0</v>
      </c>
      <c r="AA69" s="309">
        <f t="shared" si="7"/>
        <v>0</v>
      </c>
    </row>
    <row r="70" spans="1:27" x14ac:dyDescent="0.35">
      <c r="A70" s="24">
        <v>56</v>
      </c>
      <c r="B70" s="507" t="str">
        <f>IF('As-Filed Schedule 2D'!B70:D70=0,"",'As-Filed Schedule 2D'!B70:D70)</f>
        <v/>
      </c>
      <c r="C70" s="507"/>
      <c r="D70" s="507"/>
      <c r="F70" s="117">
        <f>'As-Filed Schedule 2D'!F70</f>
        <v>0</v>
      </c>
      <c r="G70" s="313">
        <f>SUMIFS(Adjustments!$G:$G,Adjustments!$H:$H,"2D",Adjustments!$I:$I,'Schedule 2D Adjustments'!$F$12,Adjustments!$J:$J,'Schedule 2D Adjustments'!$A70)</f>
        <v>0</v>
      </c>
      <c r="H70" s="309">
        <f t="shared" si="0"/>
        <v>0</v>
      </c>
      <c r="I70" s="68">
        <f>IFERROR(F70*'As-Filed Schedule 1'!$E$103,0)</f>
        <v>0</v>
      </c>
      <c r="J70" s="310">
        <f>IFERROR(H70*'Adjusted Schedule 1'!$E$104,0)</f>
        <v>0</v>
      </c>
      <c r="K70" s="68">
        <f t="shared" si="1"/>
        <v>0</v>
      </c>
      <c r="L70" s="310">
        <f t="shared" si="2"/>
        <v>0</v>
      </c>
      <c r="N70" s="117">
        <f>'As-Filed Schedule 2D'!J70</f>
        <v>0</v>
      </c>
      <c r="O70" s="313">
        <f>SUMIFS(Adjustments!$G:$G,Adjustments!$H:$H,"2D",Adjustments!$I:$I,'Schedule 2D Adjustments'!$N$12,Adjustments!$J:$J,'Schedule 2D Adjustments'!$A70)</f>
        <v>0</v>
      </c>
      <c r="P70" s="309">
        <f t="shared" si="3"/>
        <v>0</v>
      </c>
      <c r="Q70" s="68">
        <f>IFERROR(N70*'As-Filed Schedule 1'!$E$103,0)</f>
        <v>0</v>
      </c>
      <c r="R70" s="68">
        <f>IFERROR(P70*'Adjusted Schedule 1'!$E$104,0)</f>
        <v>0</v>
      </c>
      <c r="S70" s="68">
        <f t="shared" si="4"/>
        <v>0</v>
      </c>
      <c r="T70" s="310">
        <f t="shared" si="5"/>
        <v>0</v>
      </c>
      <c r="V70" s="120">
        <f>'As-Filed Schedule 2D'!N70</f>
        <v>0</v>
      </c>
      <c r="W70" s="313">
        <f>SUMIFS(Adjustments!$G:$G,Adjustments!$H:$H,"2D",Adjustments!$I:$I,'Schedule 2D Adjustments'!$V$12,Adjustments!$J:$J,'Schedule 2D Adjustments'!$A70)</f>
        <v>0</v>
      </c>
      <c r="X70" s="309">
        <f t="shared" si="6"/>
        <v>0</v>
      </c>
      <c r="Y70" s="120">
        <f>'As-Filed Schedule 2D'!O70</f>
        <v>0</v>
      </c>
      <c r="Z70" s="313">
        <f>SUMIFS(Adjustments!$G:$G,Adjustments!$H:$H,"2D",Adjustments!$I:$I,'Schedule 2D Adjustments'!$Y$12,Adjustments!$J:$J,'Schedule 2D Adjustments'!$A70)</f>
        <v>0</v>
      </c>
      <c r="AA70" s="309">
        <f t="shared" si="7"/>
        <v>0</v>
      </c>
    </row>
    <row r="71" spans="1:27" x14ac:dyDescent="0.35">
      <c r="A71" s="24">
        <v>57</v>
      </c>
      <c r="B71" s="507" t="str">
        <f>IF('As-Filed Schedule 2D'!B71:D71=0,"",'As-Filed Schedule 2D'!B71:D71)</f>
        <v/>
      </c>
      <c r="C71" s="507"/>
      <c r="D71" s="507"/>
      <c r="F71" s="117">
        <f>'As-Filed Schedule 2D'!F71</f>
        <v>0</v>
      </c>
      <c r="G71" s="313">
        <f>SUMIFS(Adjustments!$G:$G,Adjustments!$H:$H,"2D",Adjustments!$I:$I,'Schedule 2D Adjustments'!$F$12,Adjustments!$J:$J,'Schedule 2D Adjustments'!$A71)</f>
        <v>0</v>
      </c>
      <c r="H71" s="309">
        <f t="shared" si="0"/>
        <v>0</v>
      </c>
      <c r="I71" s="68">
        <f>IFERROR(F71*'As-Filed Schedule 1'!$E$103,0)</f>
        <v>0</v>
      </c>
      <c r="J71" s="310">
        <f>IFERROR(H71*'Adjusted Schedule 1'!$E$104,0)</f>
        <v>0</v>
      </c>
      <c r="K71" s="68">
        <f t="shared" si="1"/>
        <v>0</v>
      </c>
      <c r="L71" s="310">
        <f t="shared" si="2"/>
        <v>0</v>
      </c>
      <c r="N71" s="117">
        <f>'As-Filed Schedule 2D'!J71</f>
        <v>0</v>
      </c>
      <c r="O71" s="313">
        <f>SUMIFS(Adjustments!$G:$G,Adjustments!$H:$H,"2D",Adjustments!$I:$I,'Schedule 2D Adjustments'!$N$12,Adjustments!$J:$J,'Schedule 2D Adjustments'!$A71)</f>
        <v>0</v>
      </c>
      <c r="P71" s="309">
        <f t="shared" si="3"/>
        <v>0</v>
      </c>
      <c r="Q71" s="68">
        <f>IFERROR(N71*'As-Filed Schedule 1'!$E$103,0)</f>
        <v>0</v>
      </c>
      <c r="R71" s="68">
        <f>IFERROR(P71*'Adjusted Schedule 1'!$E$104,0)</f>
        <v>0</v>
      </c>
      <c r="S71" s="68">
        <f t="shared" si="4"/>
        <v>0</v>
      </c>
      <c r="T71" s="310">
        <f t="shared" si="5"/>
        <v>0</v>
      </c>
      <c r="V71" s="120">
        <f>'As-Filed Schedule 2D'!N71</f>
        <v>0</v>
      </c>
      <c r="W71" s="313">
        <f>SUMIFS(Adjustments!$G:$G,Adjustments!$H:$H,"2D",Adjustments!$I:$I,'Schedule 2D Adjustments'!$V$12,Adjustments!$J:$J,'Schedule 2D Adjustments'!$A71)</f>
        <v>0</v>
      </c>
      <c r="X71" s="309">
        <f t="shared" si="6"/>
        <v>0</v>
      </c>
      <c r="Y71" s="120">
        <f>'As-Filed Schedule 2D'!O71</f>
        <v>0</v>
      </c>
      <c r="Z71" s="313">
        <f>SUMIFS(Adjustments!$G:$G,Adjustments!$H:$H,"2D",Adjustments!$I:$I,'Schedule 2D Adjustments'!$Y$12,Adjustments!$J:$J,'Schedule 2D Adjustments'!$A71)</f>
        <v>0</v>
      </c>
      <c r="AA71" s="309">
        <f t="shared" si="7"/>
        <v>0</v>
      </c>
    </row>
    <row r="72" spans="1:27" x14ac:dyDescent="0.35">
      <c r="A72" s="24">
        <v>58</v>
      </c>
      <c r="B72" s="507" t="str">
        <f>IF('As-Filed Schedule 2D'!B72:D72=0,"",'As-Filed Schedule 2D'!B72:D72)</f>
        <v/>
      </c>
      <c r="C72" s="507"/>
      <c r="D72" s="507"/>
      <c r="F72" s="117">
        <f>'As-Filed Schedule 2D'!F72</f>
        <v>0</v>
      </c>
      <c r="G72" s="313">
        <f>SUMIFS(Adjustments!$G:$G,Adjustments!$H:$H,"2D",Adjustments!$I:$I,'Schedule 2D Adjustments'!$F$12,Adjustments!$J:$J,'Schedule 2D Adjustments'!$A72)</f>
        <v>0</v>
      </c>
      <c r="H72" s="309">
        <f t="shared" si="0"/>
        <v>0</v>
      </c>
      <c r="I72" s="68">
        <f>IFERROR(F72*'As-Filed Schedule 1'!$E$103,0)</f>
        <v>0</v>
      </c>
      <c r="J72" s="310">
        <f>IFERROR(H72*'Adjusted Schedule 1'!$E$104,0)</f>
        <v>0</v>
      </c>
      <c r="K72" s="68">
        <f t="shared" si="1"/>
        <v>0</v>
      </c>
      <c r="L72" s="310">
        <f t="shared" si="2"/>
        <v>0</v>
      </c>
      <c r="N72" s="117">
        <f>'As-Filed Schedule 2D'!J72</f>
        <v>0</v>
      </c>
      <c r="O72" s="313">
        <f>SUMIFS(Adjustments!$G:$G,Adjustments!$H:$H,"2D",Adjustments!$I:$I,'Schedule 2D Adjustments'!$N$12,Adjustments!$J:$J,'Schedule 2D Adjustments'!$A72)</f>
        <v>0</v>
      </c>
      <c r="P72" s="309">
        <f t="shared" si="3"/>
        <v>0</v>
      </c>
      <c r="Q72" s="68">
        <f>IFERROR(N72*'As-Filed Schedule 1'!$E$103,0)</f>
        <v>0</v>
      </c>
      <c r="R72" s="68">
        <f>IFERROR(P72*'Adjusted Schedule 1'!$E$104,0)</f>
        <v>0</v>
      </c>
      <c r="S72" s="68">
        <f t="shared" si="4"/>
        <v>0</v>
      </c>
      <c r="T72" s="310">
        <f t="shared" si="5"/>
        <v>0</v>
      </c>
      <c r="V72" s="120">
        <f>'As-Filed Schedule 2D'!N72</f>
        <v>0</v>
      </c>
      <c r="W72" s="313">
        <f>SUMIFS(Adjustments!$G:$G,Adjustments!$H:$H,"2D",Adjustments!$I:$I,'Schedule 2D Adjustments'!$V$12,Adjustments!$J:$J,'Schedule 2D Adjustments'!$A72)</f>
        <v>0</v>
      </c>
      <c r="X72" s="309">
        <f t="shared" si="6"/>
        <v>0</v>
      </c>
      <c r="Y72" s="120">
        <f>'As-Filed Schedule 2D'!O72</f>
        <v>0</v>
      </c>
      <c r="Z72" s="313">
        <f>SUMIFS(Adjustments!$G:$G,Adjustments!$H:$H,"2D",Adjustments!$I:$I,'Schedule 2D Adjustments'!$Y$12,Adjustments!$J:$J,'Schedule 2D Adjustments'!$A72)</f>
        <v>0</v>
      </c>
      <c r="AA72" s="309">
        <f t="shared" si="7"/>
        <v>0</v>
      </c>
    </row>
    <row r="73" spans="1:27" x14ac:dyDescent="0.35">
      <c r="A73" s="24">
        <v>59</v>
      </c>
      <c r="F73" s="18">
        <f>SUM(F15:F72)</f>
        <v>3813726.4345409581</v>
      </c>
      <c r="G73" s="18">
        <f t="shared" ref="G73:H73" si="8">SUM(G15:G72)</f>
        <v>0</v>
      </c>
      <c r="H73" s="18">
        <f t="shared" si="8"/>
        <v>3813726.4345409581</v>
      </c>
      <c r="I73" s="18">
        <f t="shared" ref="I73:K73" si="9">SUM(I15:I72)</f>
        <v>1715984.9884296765</v>
      </c>
      <c r="J73" s="310">
        <f>IFERROR(H73*'Adjusted Schedule 1'!$E$104,0)</f>
        <v>1715984.9884296767</v>
      </c>
      <c r="K73" s="18">
        <f t="shared" si="9"/>
        <v>5529711.422970634</v>
      </c>
      <c r="L73" s="311">
        <f t="shared" ref="L73" si="10">SUM(L15:L72)</f>
        <v>5529711.422970634</v>
      </c>
      <c r="N73" s="18">
        <f>SUM(N15:N72)</f>
        <v>216518.95283484389</v>
      </c>
      <c r="O73" s="18">
        <f t="shared" ref="O73:P73" si="11">SUM(O15:O72)</f>
        <v>0</v>
      </c>
      <c r="P73" s="18">
        <f t="shared" si="11"/>
        <v>216518.95283484389</v>
      </c>
      <c r="Q73" s="18">
        <f t="shared" ref="Q73:S73" si="12">SUM(Q15:Q72)</f>
        <v>97422.633519288167</v>
      </c>
      <c r="R73" s="18">
        <f t="shared" si="12"/>
        <v>97422.633519288167</v>
      </c>
      <c r="S73" s="18">
        <f t="shared" si="12"/>
        <v>313941.58635413204</v>
      </c>
      <c r="T73" s="311">
        <f t="shared" ref="T73" si="13">SUM(T15:T72)</f>
        <v>313941.58635413204</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462</v>
      </c>
      <c r="F75" s="75">
        <f>K73+S73</f>
        <v>5843653.0093247658</v>
      </c>
      <c r="G75"/>
      <c r="H75" s="75">
        <f>L73+T73</f>
        <v>5843653.0093247658</v>
      </c>
      <c r="I75" s="74"/>
      <c r="J75" s="325"/>
      <c r="K75" s="74"/>
      <c r="L75" s="325"/>
      <c r="M75" s="74"/>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08984375" defaultRowHeight="14.5" x14ac:dyDescent="0.35"/>
  <cols>
    <col min="1" max="1" width="9.54296875" customWidth="1"/>
    <col min="2" max="2" width="20.90625" customWidth="1"/>
    <col min="3" max="3" width="22.90625" customWidth="1"/>
    <col min="4" max="4" width="22.453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839</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810</v>
      </c>
      <c r="C8" s="1"/>
      <c r="F8" s="119" t="str">
        <f>'As-Filed Schedule 2E'!F8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2E'!B15:D15=0,"",'As-Filed Schedule 2E'!B15:D15)</f>
        <v/>
      </c>
      <c r="C15" s="507"/>
      <c r="D15" s="507"/>
      <c r="F15" s="117">
        <f>'As-Filed Schedule 2E'!F15</f>
        <v>0</v>
      </c>
      <c r="G15" s="313">
        <f>SUMIFS(Adjustments!$G:$G,Adjustments!$H:$H,"2E",Adjustments!$I:$I,'Schedule 2E Adjustments'!$F$12,Adjustments!$J:$J,'Schedule 2E Adjustments'!$A15)</f>
        <v>0</v>
      </c>
      <c r="H15" s="309">
        <f>SUM(F15:G15)</f>
        <v>0</v>
      </c>
      <c r="I15" s="68">
        <f>IFERROR(F15*'As-Filed Schedule 1'!$E$103,0)</f>
        <v>0</v>
      </c>
      <c r="J15" s="310">
        <f>IFERROR(H15*'Adjusted Schedule 1'!$E$104,0)</f>
        <v>0</v>
      </c>
      <c r="K15" s="68">
        <f>SUM(F15,I15)</f>
        <v>0</v>
      </c>
      <c r="L15" s="310">
        <f>SUM(H15,J15)</f>
        <v>0</v>
      </c>
      <c r="N15" s="117">
        <f>'As-Filed Schedule 2E'!J15</f>
        <v>0</v>
      </c>
      <c r="O15" s="313">
        <f>SUMIFS(Adjustments!$G:$G,Adjustments!$H:$H,"2E",Adjustments!$I:$I,'Schedule 2E Adjustments'!$N$12,Adjustments!$J:$J,'Schedule 2E Adjustments'!$A15)</f>
        <v>0</v>
      </c>
      <c r="P15" s="309">
        <f>SUM(N15:O15)</f>
        <v>0</v>
      </c>
      <c r="Q15" s="68">
        <f>IFERROR(N15*'As-Filed Schedule 1'!$E$103,0)</f>
        <v>0</v>
      </c>
      <c r="R15" s="68">
        <f>IFERROR(P15*'Adjusted Schedule 1'!$E$104,0)</f>
        <v>0</v>
      </c>
      <c r="S15" s="68">
        <f>SUM(N15,Q15)</f>
        <v>0</v>
      </c>
      <c r="T15" s="310">
        <f>SUM(P15,R15)</f>
        <v>0</v>
      </c>
      <c r="V15" s="120">
        <f>'As-Filed Schedule 2E'!N15</f>
        <v>0</v>
      </c>
      <c r="W15" s="313">
        <f>SUMIFS(Adjustments!$G:$G,Adjustments!$H:$H,"2E",Adjustments!$I:$I,'Schedule 2E Adjustments'!$V$12,Adjustments!$J:$J,'Schedule 2E Adjustments'!$A15)</f>
        <v>0</v>
      </c>
      <c r="X15" s="309">
        <f>SUM(V15:W15)</f>
        <v>0</v>
      </c>
      <c r="Y15" s="120">
        <f>'As-Filed Schedule 2E'!O15</f>
        <v>0</v>
      </c>
      <c r="Z15" s="313">
        <f>SUMIFS(Adjustments!$G:$G,Adjustments!$H:$H,"2E",Adjustments!$I:$I,'Schedule 2E Adjustments'!$Y$12,Adjustments!$J:$J,'Schedule 2E Adjustments'!$A15)</f>
        <v>0</v>
      </c>
      <c r="AA15" s="309">
        <f>SUM(Y15:Z15)</f>
        <v>0</v>
      </c>
    </row>
    <row r="16" spans="1:27" x14ac:dyDescent="0.35">
      <c r="A16" s="24">
        <v>2</v>
      </c>
      <c r="B16" s="507" t="str">
        <f>IF('As-Filed Schedule 2E'!B16:D16=0,"",'As-Filed Schedule 2E'!B16:D16)</f>
        <v/>
      </c>
      <c r="C16" s="507"/>
      <c r="D16" s="507"/>
      <c r="F16" s="117">
        <f>'As-Filed Schedule 2E'!F16</f>
        <v>0</v>
      </c>
      <c r="G16" s="313">
        <f>SUMIFS(Adjustments!$G:$G,Adjustments!$H:$H,"2E",Adjustments!$I:$I,'Schedule 2E Adjustments'!$F$12,Adjustments!$J:$J,'Schedule 2E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2E'!J16</f>
        <v>0</v>
      </c>
      <c r="O16" s="313">
        <f>SUMIFS(Adjustments!$G:$G,Adjustments!$H:$H,"2E",Adjustments!$I:$I,'Schedule 2E Adjustments'!$N$12,Adjustments!$J:$J,'Schedule 2E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2E'!N16</f>
        <v>0</v>
      </c>
      <c r="W16" s="313">
        <f>SUMIFS(Adjustments!$G:$G,Adjustments!$H:$H,"2E",Adjustments!$I:$I,'Schedule 2E Adjustments'!$V$12,Adjustments!$J:$J,'Schedule 2E Adjustments'!$A16)</f>
        <v>0</v>
      </c>
      <c r="X16" s="309">
        <f t="shared" ref="X16:X72" si="6">SUM(V16:W16)</f>
        <v>0</v>
      </c>
      <c r="Y16" s="120">
        <f>'As-Filed Schedule 2E'!O16</f>
        <v>0</v>
      </c>
      <c r="Z16" s="313">
        <f>SUMIFS(Adjustments!$G:$G,Adjustments!$H:$H,"2E",Adjustments!$I:$I,'Schedule 2E Adjustments'!$Y$12,Adjustments!$J:$J,'Schedule 2E Adjustments'!$A16)</f>
        <v>0</v>
      </c>
      <c r="AA16" s="309">
        <f t="shared" ref="AA16:AA72" si="7">SUM(Y16:Z16)</f>
        <v>0</v>
      </c>
    </row>
    <row r="17" spans="1:27" x14ac:dyDescent="0.35">
      <c r="A17" s="24">
        <v>3</v>
      </c>
      <c r="B17" s="507" t="str">
        <f>IF('As-Filed Schedule 2E'!B17:D17=0,"",'As-Filed Schedule 2E'!B17:D17)</f>
        <v/>
      </c>
      <c r="C17" s="507"/>
      <c r="D17" s="507"/>
      <c r="F17" s="117">
        <f>'As-Filed Schedule 2E'!F17</f>
        <v>0</v>
      </c>
      <c r="G17" s="313">
        <f>SUMIFS(Adjustments!$G:$G,Adjustments!$H:$H,"2E",Adjustments!$I:$I,'Schedule 2E Adjustments'!$F$12,Adjustments!$J:$J,'Schedule 2E Adjustments'!$A17)</f>
        <v>0</v>
      </c>
      <c r="H17" s="309">
        <f t="shared" si="0"/>
        <v>0</v>
      </c>
      <c r="I17" s="68">
        <f>IFERROR(F17*'As-Filed Schedule 1'!$E$103,0)</f>
        <v>0</v>
      </c>
      <c r="J17" s="310">
        <f>IFERROR(H17*'Adjusted Schedule 1'!$E$104,0)</f>
        <v>0</v>
      </c>
      <c r="K17" s="68">
        <f t="shared" si="1"/>
        <v>0</v>
      </c>
      <c r="L17" s="310">
        <f t="shared" si="2"/>
        <v>0</v>
      </c>
      <c r="N17" s="117">
        <f>'As-Filed Schedule 2E'!J17</f>
        <v>0</v>
      </c>
      <c r="O17" s="313">
        <f>SUMIFS(Adjustments!$G:$G,Adjustments!$H:$H,"2E",Adjustments!$I:$I,'Schedule 2E Adjustments'!$N$12,Adjustments!$J:$J,'Schedule 2E Adjustments'!$A17)</f>
        <v>0</v>
      </c>
      <c r="P17" s="309">
        <f t="shared" si="3"/>
        <v>0</v>
      </c>
      <c r="Q17" s="68">
        <f>IFERROR(N17*'As-Filed Schedule 1'!$E$103,0)</f>
        <v>0</v>
      </c>
      <c r="R17" s="68">
        <f>IFERROR(P17*'Adjusted Schedule 1'!$E$104,0)</f>
        <v>0</v>
      </c>
      <c r="S17" s="68">
        <f t="shared" si="4"/>
        <v>0</v>
      </c>
      <c r="T17" s="310">
        <f t="shared" si="5"/>
        <v>0</v>
      </c>
      <c r="V17" s="120">
        <f>'As-Filed Schedule 2E'!N17</f>
        <v>0</v>
      </c>
      <c r="W17" s="313">
        <f>SUMIFS(Adjustments!$G:$G,Adjustments!$H:$H,"2E",Adjustments!$I:$I,'Schedule 2E Adjustments'!$V$12,Adjustments!$J:$J,'Schedule 2E Adjustments'!$A17)</f>
        <v>0</v>
      </c>
      <c r="X17" s="309">
        <f t="shared" si="6"/>
        <v>0</v>
      </c>
      <c r="Y17" s="120">
        <f>'As-Filed Schedule 2E'!O17</f>
        <v>0</v>
      </c>
      <c r="Z17" s="313">
        <f>SUMIFS(Adjustments!$G:$G,Adjustments!$H:$H,"2E",Adjustments!$I:$I,'Schedule 2E Adjustments'!$Y$12,Adjustments!$J:$J,'Schedule 2E Adjustments'!$A17)</f>
        <v>0</v>
      </c>
      <c r="AA17" s="309">
        <f t="shared" si="7"/>
        <v>0</v>
      </c>
    </row>
    <row r="18" spans="1:27" x14ac:dyDescent="0.35">
      <c r="A18" s="24">
        <v>4</v>
      </c>
      <c r="B18" s="507" t="str">
        <f>IF('As-Filed Schedule 2E'!B18:D18=0,"",'As-Filed Schedule 2E'!B18:D18)</f>
        <v/>
      </c>
      <c r="C18" s="507"/>
      <c r="D18" s="507"/>
      <c r="F18" s="117">
        <f>'As-Filed Schedule 2E'!F18</f>
        <v>0</v>
      </c>
      <c r="G18" s="313">
        <f>SUMIFS(Adjustments!$G:$G,Adjustments!$H:$H,"2E",Adjustments!$I:$I,'Schedule 2E Adjustments'!$F$12,Adjustments!$J:$J,'Schedule 2E Adjustments'!$A18)</f>
        <v>0</v>
      </c>
      <c r="H18" s="309">
        <f t="shared" si="0"/>
        <v>0</v>
      </c>
      <c r="I18" s="68">
        <f>IFERROR(F18*'As-Filed Schedule 1'!$E$103,0)</f>
        <v>0</v>
      </c>
      <c r="J18" s="310">
        <f>IFERROR(H18*'Adjusted Schedule 1'!$E$104,0)</f>
        <v>0</v>
      </c>
      <c r="K18" s="68">
        <f>SUM(F18,I18)</f>
        <v>0</v>
      </c>
      <c r="L18" s="310">
        <f>SUM(H18,J18)</f>
        <v>0</v>
      </c>
      <c r="N18" s="117">
        <f>'As-Filed Schedule 2E'!J18</f>
        <v>0</v>
      </c>
      <c r="O18" s="313">
        <f>SUMIFS(Adjustments!$G:$G,Adjustments!$H:$H,"2E",Adjustments!$I:$I,'Schedule 2E Adjustments'!$N$12,Adjustments!$J:$J,'Schedule 2E Adjustments'!$A18)</f>
        <v>0</v>
      </c>
      <c r="P18" s="309">
        <f t="shared" si="3"/>
        <v>0</v>
      </c>
      <c r="Q18" s="68">
        <f>IFERROR(N18*'As-Filed Schedule 1'!$E$103,0)</f>
        <v>0</v>
      </c>
      <c r="R18" s="68">
        <f>IFERROR(P18*'Adjusted Schedule 1'!$E$104,0)</f>
        <v>0</v>
      </c>
      <c r="S18" s="68">
        <f t="shared" si="4"/>
        <v>0</v>
      </c>
      <c r="T18" s="310">
        <f t="shared" si="5"/>
        <v>0</v>
      </c>
      <c r="V18" s="120">
        <f>'As-Filed Schedule 2E'!N18</f>
        <v>0</v>
      </c>
      <c r="W18" s="313">
        <f>SUMIFS(Adjustments!$G:$G,Adjustments!$H:$H,"2E",Adjustments!$I:$I,'Schedule 2E Adjustments'!$V$12,Adjustments!$J:$J,'Schedule 2E Adjustments'!$A18)</f>
        <v>0</v>
      </c>
      <c r="X18" s="309">
        <f t="shared" si="6"/>
        <v>0</v>
      </c>
      <c r="Y18" s="120">
        <f>'As-Filed Schedule 2E'!O18</f>
        <v>0</v>
      </c>
      <c r="Z18" s="313">
        <f>SUMIFS(Adjustments!$G:$G,Adjustments!$H:$H,"2E",Adjustments!$I:$I,'Schedule 2E Adjustments'!$Y$12,Adjustments!$J:$J,'Schedule 2E Adjustments'!$A18)</f>
        <v>0</v>
      </c>
      <c r="AA18" s="309">
        <f t="shared" si="7"/>
        <v>0</v>
      </c>
    </row>
    <row r="19" spans="1:27" x14ac:dyDescent="0.35">
      <c r="A19" s="24">
        <v>5</v>
      </c>
      <c r="B19" s="507" t="str">
        <f>IF('As-Filed Schedule 2E'!B19:D19=0,"",'As-Filed Schedule 2E'!B19:D19)</f>
        <v/>
      </c>
      <c r="C19" s="507"/>
      <c r="D19" s="507"/>
      <c r="F19" s="117">
        <f>'As-Filed Schedule 2E'!F19</f>
        <v>0</v>
      </c>
      <c r="G19" s="313">
        <f>SUMIFS(Adjustments!$G:$G,Adjustments!$H:$H,"2E",Adjustments!$I:$I,'Schedule 2E Adjustments'!$F$12,Adjustments!$J:$J,'Schedule 2E Adjustments'!$A19)</f>
        <v>0</v>
      </c>
      <c r="H19" s="309">
        <f t="shared" si="0"/>
        <v>0</v>
      </c>
      <c r="I19" s="68">
        <f>IFERROR(F19*'As-Filed Schedule 1'!$E$103,0)</f>
        <v>0</v>
      </c>
      <c r="J19" s="310">
        <f>IFERROR(H19*'Adjusted Schedule 1'!$E$104,0)</f>
        <v>0</v>
      </c>
      <c r="K19" s="68">
        <f t="shared" si="1"/>
        <v>0</v>
      </c>
      <c r="L19" s="310">
        <f>SUM(H19,J19)</f>
        <v>0</v>
      </c>
      <c r="N19" s="117">
        <f>'As-Filed Schedule 2E'!J19</f>
        <v>0</v>
      </c>
      <c r="O19" s="313">
        <f>SUMIFS(Adjustments!$G:$G,Adjustments!$H:$H,"2E",Adjustments!$I:$I,'Schedule 2E Adjustments'!$N$12,Adjustments!$J:$J,'Schedule 2E Adjustments'!$A19)</f>
        <v>0</v>
      </c>
      <c r="P19" s="309">
        <f t="shared" si="3"/>
        <v>0</v>
      </c>
      <c r="Q19" s="68">
        <f>IFERROR(N19*'As-Filed Schedule 1'!$E$103,0)</f>
        <v>0</v>
      </c>
      <c r="R19" s="68">
        <f>IFERROR(P19*'Adjusted Schedule 1'!$E$104,0)</f>
        <v>0</v>
      </c>
      <c r="S19" s="68">
        <f t="shared" si="4"/>
        <v>0</v>
      </c>
      <c r="T19" s="310">
        <f t="shared" si="5"/>
        <v>0</v>
      </c>
      <c r="V19" s="120">
        <f>'As-Filed Schedule 2E'!N19</f>
        <v>0</v>
      </c>
      <c r="W19" s="313">
        <f>SUMIFS(Adjustments!$G:$G,Adjustments!$H:$H,"2E",Adjustments!$I:$I,'Schedule 2E Adjustments'!$V$12,Adjustments!$J:$J,'Schedule 2E Adjustments'!$A19)</f>
        <v>0</v>
      </c>
      <c r="X19" s="309">
        <f t="shared" si="6"/>
        <v>0</v>
      </c>
      <c r="Y19" s="120">
        <f>'As-Filed Schedule 2E'!O19</f>
        <v>0</v>
      </c>
      <c r="Z19" s="313">
        <f>SUMIFS(Adjustments!$G:$G,Adjustments!$H:$H,"2E",Adjustments!$I:$I,'Schedule 2E Adjustments'!$Y$12,Adjustments!$J:$J,'Schedule 2E Adjustments'!$A19)</f>
        <v>0</v>
      </c>
      <c r="AA19" s="309">
        <f t="shared" si="7"/>
        <v>0</v>
      </c>
    </row>
    <row r="20" spans="1:27" x14ac:dyDescent="0.35">
      <c r="A20" s="24">
        <v>6</v>
      </c>
      <c r="B20" s="507" t="str">
        <f>IF('As-Filed Schedule 2E'!B20:D20=0,"",'As-Filed Schedule 2E'!B20:D20)</f>
        <v/>
      </c>
      <c r="C20" s="507"/>
      <c r="D20" s="507"/>
      <c r="F20" s="117">
        <f>'As-Filed Schedule 2E'!F20</f>
        <v>0</v>
      </c>
      <c r="G20" s="313">
        <f>SUMIFS(Adjustments!$G:$G,Adjustments!$H:$H,"2E",Adjustments!$I:$I,'Schedule 2E Adjustments'!$F$12,Adjustments!$J:$J,'Schedule 2E Adjustments'!$A20)</f>
        <v>0</v>
      </c>
      <c r="H20" s="309">
        <f t="shared" si="0"/>
        <v>0</v>
      </c>
      <c r="I20" s="68">
        <f>IFERROR(F20*'As-Filed Schedule 1'!$E$103,0)</f>
        <v>0</v>
      </c>
      <c r="J20" s="310">
        <f>IFERROR(H20*'Adjusted Schedule 1'!$E$104,0)</f>
        <v>0</v>
      </c>
      <c r="K20" s="68">
        <f>SUM(F20,I20)</f>
        <v>0</v>
      </c>
      <c r="L20" s="310">
        <f t="shared" si="2"/>
        <v>0</v>
      </c>
      <c r="N20" s="117">
        <f>'As-Filed Schedule 2E'!J20</f>
        <v>0</v>
      </c>
      <c r="O20" s="313">
        <f>SUMIFS(Adjustments!$G:$G,Adjustments!$H:$H,"2E",Adjustments!$I:$I,'Schedule 2E Adjustments'!$N$12,Adjustments!$J:$J,'Schedule 2E Adjustments'!$A20)</f>
        <v>0</v>
      </c>
      <c r="P20" s="309">
        <f t="shared" si="3"/>
        <v>0</v>
      </c>
      <c r="Q20" s="68">
        <f>IFERROR(N20*'As-Filed Schedule 1'!$E$103,0)</f>
        <v>0</v>
      </c>
      <c r="R20" s="68">
        <f>IFERROR(P20*'Adjusted Schedule 1'!$E$104,0)</f>
        <v>0</v>
      </c>
      <c r="S20" s="68">
        <f t="shared" si="4"/>
        <v>0</v>
      </c>
      <c r="T20" s="310">
        <f t="shared" si="5"/>
        <v>0</v>
      </c>
      <c r="V20" s="120">
        <f>'As-Filed Schedule 2E'!N20</f>
        <v>0</v>
      </c>
      <c r="W20" s="313">
        <f>SUMIFS(Adjustments!$G:$G,Adjustments!$H:$H,"2E",Adjustments!$I:$I,'Schedule 2E Adjustments'!$V$12,Adjustments!$J:$J,'Schedule 2E Adjustments'!$A20)</f>
        <v>0</v>
      </c>
      <c r="X20" s="309">
        <f t="shared" si="6"/>
        <v>0</v>
      </c>
      <c r="Y20" s="120">
        <f>'As-Filed Schedule 2E'!O20</f>
        <v>0</v>
      </c>
      <c r="Z20" s="313">
        <f>SUMIFS(Adjustments!$G:$G,Adjustments!$H:$H,"2E",Adjustments!$I:$I,'Schedule 2E Adjustments'!$Y$12,Adjustments!$J:$J,'Schedule 2E Adjustments'!$A20)</f>
        <v>0</v>
      </c>
      <c r="AA20" s="309">
        <f t="shared" si="7"/>
        <v>0</v>
      </c>
    </row>
    <row r="21" spans="1:27" x14ac:dyDescent="0.35">
      <c r="A21" s="24">
        <v>7</v>
      </c>
      <c r="B21" s="507" t="str">
        <f>IF('As-Filed Schedule 2E'!B21:D21=0,"",'As-Filed Schedule 2E'!B21:D21)</f>
        <v/>
      </c>
      <c r="C21" s="507"/>
      <c r="D21" s="507"/>
      <c r="F21" s="117">
        <f>'As-Filed Schedule 2E'!F21</f>
        <v>0</v>
      </c>
      <c r="G21" s="313">
        <f>SUMIFS(Adjustments!$G:$G,Adjustments!$H:$H,"2E",Adjustments!$I:$I,'Schedule 2E Adjustments'!$F$12,Adjustments!$J:$J,'Schedule 2E Adjustments'!$A21)</f>
        <v>0</v>
      </c>
      <c r="H21" s="309">
        <f t="shared" si="0"/>
        <v>0</v>
      </c>
      <c r="I21" s="68">
        <f>IFERROR(F21*'As-Filed Schedule 1'!$E$103,0)</f>
        <v>0</v>
      </c>
      <c r="J21" s="310">
        <f>IFERROR(H21*'Adjusted Schedule 1'!$E$104,0)</f>
        <v>0</v>
      </c>
      <c r="K21" s="68">
        <f t="shared" si="1"/>
        <v>0</v>
      </c>
      <c r="L21" s="310">
        <f t="shared" si="2"/>
        <v>0</v>
      </c>
      <c r="N21" s="117">
        <f>'As-Filed Schedule 2E'!J21</f>
        <v>0</v>
      </c>
      <c r="O21" s="313">
        <f>SUMIFS(Adjustments!$G:$G,Adjustments!$H:$H,"2E",Adjustments!$I:$I,'Schedule 2E Adjustments'!$N$12,Adjustments!$J:$J,'Schedule 2E Adjustments'!$A21)</f>
        <v>0</v>
      </c>
      <c r="P21" s="309">
        <f t="shared" si="3"/>
        <v>0</v>
      </c>
      <c r="Q21" s="68">
        <f>IFERROR(N21*'As-Filed Schedule 1'!$E$103,0)</f>
        <v>0</v>
      </c>
      <c r="R21" s="68">
        <f>IFERROR(P21*'Adjusted Schedule 1'!$E$104,0)</f>
        <v>0</v>
      </c>
      <c r="S21" s="68">
        <f>SUM(N21,Q21)</f>
        <v>0</v>
      </c>
      <c r="T21" s="310">
        <f>SUM(P21,R21)</f>
        <v>0</v>
      </c>
      <c r="V21" s="120">
        <f>'As-Filed Schedule 2E'!N21</f>
        <v>0</v>
      </c>
      <c r="W21" s="313">
        <f>SUMIFS(Adjustments!$G:$G,Adjustments!$H:$H,"2E",Adjustments!$I:$I,'Schedule 2E Adjustments'!$V$12,Adjustments!$J:$J,'Schedule 2E Adjustments'!$A21)</f>
        <v>0</v>
      </c>
      <c r="X21" s="309">
        <f t="shared" si="6"/>
        <v>0</v>
      </c>
      <c r="Y21" s="120">
        <f>'As-Filed Schedule 2E'!O21</f>
        <v>0</v>
      </c>
      <c r="Z21" s="313">
        <f>SUMIFS(Adjustments!$G:$G,Adjustments!$H:$H,"2E",Adjustments!$I:$I,'Schedule 2E Adjustments'!$Y$12,Adjustments!$J:$J,'Schedule 2E Adjustments'!$A21)</f>
        <v>0</v>
      </c>
      <c r="AA21" s="309">
        <f t="shared" si="7"/>
        <v>0</v>
      </c>
    </row>
    <row r="22" spans="1:27" x14ac:dyDescent="0.35">
      <c r="A22" s="24">
        <v>8</v>
      </c>
      <c r="B22" s="507" t="str">
        <f>IF('As-Filed Schedule 2E'!B22:D22=0,"",'As-Filed Schedule 2E'!B22:D22)</f>
        <v/>
      </c>
      <c r="C22" s="507"/>
      <c r="D22" s="507"/>
      <c r="F22" s="117">
        <f>'As-Filed Schedule 2E'!F22</f>
        <v>0</v>
      </c>
      <c r="G22" s="313">
        <f>SUMIFS(Adjustments!$G:$G,Adjustments!$H:$H,"2E",Adjustments!$I:$I,'Schedule 2E Adjustments'!$F$12,Adjustments!$J:$J,'Schedule 2E Adjustments'!$A22)</f>
        <v>0</v>
      </c>
      <c r="H22" s="309">
        <f t="shared" si="0"/>
        <v>0</v>
      </c>
      <c r="I22" s="68">
        <f>IFERROR(F22*'As-Filed Schedule 1'!$E$103,0)</f>
        <v>0</v>
      </c>
      <c r="J22" s="310">
        <f>IFERROR(H22*'Adjusted Schedule 1'!$E$104,0)</f>
        <v>0</v>
      </c>
      <c r="K22" s="68">
        <f t="shared" si="1"/>
        <v>0</v>
      </c>
      <c r="L22" s="310">
        <f t="shared" si="2"/>
        <v>0</v>
      </c>
      <c r="N22" s="117">
        <f>'As-Filed Schedule 2E'!J22</f>
        <v>0</v>
      </c>
      <c r="O22" s="313">
        <f>SUMIFS(Adjustments!$G:$G,Adjustments!$H:$H,"2E",Adjustments!$I:$I,'Schedule 2E Adjustments'!$N$12,Adjustments!$J:$J,'Schedule 2E Adjustments'!$A22)</f>
        <v>0</v>
      </c>
      <c r="P22" s="309">
        <f t="shared" si="3"/>
        <v>0</v>
      </c>
      <c r="Q22" s="68">
        <f>IFERROR(N22*'As-Filed Schedule 1'!$E$103,0)</f>
        <v>0</v>
      </c>
      <c r="R22" s="68">
        <f>IFERROR(P22*'Adjusted Schedule 1'!$E$104,0)</f>
        <v>0</v>
      </c>
      <c r="S22" s="68">
        <f t="shared" si="4"/>
        <v>0</v>
      </c>
      <c r="T22" s="310">
        <f t="shared" si="5"/>
        <v>0</v>
      </c>
      <c r="V22" s="120">
        <f>'As-Filed Schedule 2E'!N22</f>
        <v>0</v>
      </c>
      <c r="W22" s="313">
        <f>SUMIFS(Adjustments!$G:$G,Adjustments!$H:$H,"2E",Adjustments!$I:$I,'Schedule 2E Adjustments'!$V$12,Adjustments!$J:$J,'Schedule 2E Adjustments'!$A22)</f>
        <v>0</v>
      </c>
      <c r="X22" s="309">
        <f t="shared" si="6"/>
        <v>0</v>
      </c>
      <c r="Y22" s="120">
        <f>'As-Filed Schedule 2E'!O22</f>
        <v>0</v>
      </c>
      <c r="Z22" s="313">
        <f>SUMIFS(Adjustments!$G:$G,Adjustments!$H:$H,"2E",Adjustments!$I:$I,'Schedule 2E Adjustments'!$Y$12,Adjustments!$J:$J,'Schedule 2E Adjustments'!$A22)</f>
        <v>0</v>
      </c>
      <c r="AA22" s="309">
        <f t="shared" si="7"/>
        <v>0</v>
      </c>
    </row>
    <row r="23" spans="1:27" x14ac:dyDescent="0.35">
      <c r="A23" s="24">
        <v>9</v>
      </c>
      <c r="B23" s="507" t="str">
        <f>IF('As-Filed Schedule 2E'!B23:D23=0,"",'As-Filed Schedule 2E'!B23:D23)</f>
        <v/>
      </c>
      <c r="C23" s="507"/>
      <c r="D23" s="507"/>
      <c r="F23" s="117">
        <f>'As-Filed Schedule 2E'!F23</f>
        <v>0</v>
      </c>
      <c r="G23" s="313">
        <f>SUMIFS(Adjustments!$G:$G,Adjustments!$H:$H,"2E",Adjustments!$I:$I,'Schedule 2E Adjustments'!$F$12,Adjustments!$J:$J,'Schedule 2E Adjustments'!$A23)</f>
        <v>0</v>
      </c>
      <c r="H23" s="309">
        <f t="shared" si="0"/>
        <v>0</v>
      </c>
      <c r="I23" s="68">
        <f>IFERROR(F23*'As-Filed Schedule 1'!$E$103,0)</f>
        <v>0</v>
      </c>
      <c r="J23" s="310">
        <f>IFERROR(H23*'Adjusted Schedule 1'!$E$104,0)</f>
        <v>0</v>
      </c>
      <c r="K23" s="68">
        <f t="shared" si="1"/>
        <v>0</v>
      </c>
      <c r="L23" s="310">
        <f t="shared" si="2"/>
        <v>0</v>
      </c>
      <c r="N23" s="117">
        <f>'As-Filed Schedule 2E'!J23</f>
        <v>0</v>
      </c>
      <c r="O23" s="313">
        <f>SUMIFS(Adjustments!$G:$G,Adjustments!$H:$H,"2E",Adjustments!$I:$I,'Schedule 2E Adjustments'!$N$12,Adjustments!$J:$J,'Schedule 2E Adjustments'!$A23)</f>
        <v>0</v>
      </c>
      <c r="P23" s="309">
        <f t="shared" si="3"/>
        <v>0</v>
      </c>
      <c r="Q23" s="68">
        <f>IFERROR(N23*'As-Filed Schedule 1'!$E$103,0)</f>
        <v>0</v>
      </c>
      <c r="R23" s="68">
        <f>IFERROR(P23*'Adjusted Schedule 1'!$E$104,0)</f>
        <v>0</v>
      </c>
      <c r="S23" s="68">
        <f t="shared" si="4"/>
        <v>0</v>
      </c>
      <c r="T23" s="310">
        <f t="shared" si="5"/>
        <v>0</v>
      </c>
      <c r="V23" s="120">
        <f>'As-Filed Schedule 2E'!N23</f>
        <v>0</v>
      </c>
      <c r="W23" s="313">
        <f>SUMIFS(Adjustments!$G:$G,Adjustments!$H:$H,"2E",Adjustments!$I:$I,'Schedule 2E Adjustments'!$V$12,Adjustments!$J:$J,'Schedule 2E Adjustments'!$A23)</f>
        <v>0</v>
      </c>
      <c r="X23" s="309">
        <f t="shared" si="6"/>
        <v>0</v>
      </c>
      <c r="Y23" s="120">
        <f>'As-Filed Schedule 2E'!O23</f>
        <v>0</v>
      </c>
      <c r="Z23" s="313">
        <f>SUMIFS(Adjustments!$G:$G,Adjustments!$H:$H,"2E",Adjustments!$I:$I,'Schedule 2E Adjustments'!$Y$12,Adjustments!$J:$J,'Schedule 2E Adjustments'!$A23)</f>
        <v>0</v>
      </c>
      <c r="AA23" s="309">
        <f t="shared" si="7"/>
        <v>0</v>
      </c>
    </row>
    <row r="24" spans="1:27" x14ac:dyDescent="0.35">
      <c r="A24" s="24">
        <v>10</v>
      </c>
      <c r="B24" s="507" t="str">
        <f>IF('As-Filed Schedule 2E'!B24:D24=0,"",'As-Filed Schedule 2E'!B24:D24)</f>
        <v/>
      </c>
      <c r="C24" s="507"/>
      <c r="D24" s="507"/>
      <c r="F24" s="117">
        <f>'As-Filed Schedule 2E'!F24</f>
        <v>0</v>
      </c>
      <c r="G24" s="313">
        <f>SUMIFS(Adjustments!$G:$G,Adjustments!$H:$H,"2E",Adjustments!$I:$I,'Schedule 2E Adjustments'!$F$12,Adjustments!$J:$J,'Schedule 2E Adjustments'!$A24)</f>
        <v>0</v>
      </c>
      <c r="H24" s="309">
        <f t="shared" si="0"/>
        <v>0</v>
      </c>
      <c r="I24" s="68">
        <f>IFERROR(F24*'As-Filed Schedule 1'!$E$103,0)</f>
        <v>0</v>
      </c>
      <c r="J24" s="310">
        <f>IFERROR(H24*'Adjusted Schedule 1'!$E$104,0)</f>
        <v>0</v>
      </c>
      <c r="K24" s="68">
        <f t="shared" si="1"/>
        <v>0</v>
      </c>
      <c r="L24" s="310">
        <f t="shared" si="2"/>
        <v>0</v>
      </c>
      <c r="N24" s="117">
        <f>'As-Filed Schedule 2E'!J24</f>
        <v>0</v>
      </c>
      <c r="O24" s="313">
        <f>SUMIFS(Adjustments!$G:$G,Adjustments!$H:$H,"2E",Adjustments!$I:$I,'Schedule 2E Adjustments'!$N$12,Adjustments!$J:$J,'Schedule 2E Adjustments'!$A24)</f>
        <v>0</v>
      </c>
      <c r="P24" s="309">
        <f t="shared" si="3"/>
        <v>0</v>
      </c>
      <c r="Q24" s="68">
        <f>IFERROR(N24*'As-Filed Schedule 1'!$E$103,0)</f>
        <v>0</v>
      </c>
      <c r="R24" s="68">
        <f>IFERROR(P24*'Adjusted Schedule 1'!$E$104,0)</f>
        <v>0</v>
      </c>
      <c r="S24" s="68">
        <f t="shared" si="4"/>
        <v>0</v>
      </c>
      <c r="T24" s="310">
        <f t="shared" si="5"/>
        <v>0</v>
      </c>
      <c r="V24" s="120">
        <f>'As-Filed Schedule 2E'!N24</f>
        <v>0</v>
      </c>
      <c r="W24" s="313">
        <f>SUMIFS(Adjustments!$G:$G,Adjustments!$H:$H,"2E",Adjustments!$I:$I,'Schedule 2E Adjustments'!$V$12,Adjustments!$J:$J,'Schedule 2E Adjustments'!$A24)</f>
        <v>0</v>
      </c>
      <c r="X24" s="309">
        <f t="shared" si="6"/>
        <v>0</v>
      </c>
      <c r="Y24" s="120">
        <f>'As-Filed Schedule 2E'!O24</f>
        <v>0</v>
      </c>
      <c r="Z24" s="313">
        <f>SUMIFS(Adjustments!$G:$G,Adjustments!$H:$H,"2E",Adjustments!$I:$I,'Schedule 2E Adjustments'!$Y$12,Adjustments!$J:$J,'Schedule 2E Adjustments'!$A24)</f>
        <v>0</v>
      </c>
      <c r="AA24" s="309">
        <f t="shared" si="7"/>
        <v>0</v>
      </c>
    </row>
    <row r="25" spans="1:27" x14ac:dyDescent="0.35">
      <c r="A25" s="24">
        <v>11</v>
      </c>
      <c r="B25" s="507" t="str">
        <f>IF('As-Filed Schedule 2E'!B25:D25=0,"",'As-Filed Schedule 2E'!B25:D25)</f>
        <v/>
      </c>
      <c r="C25" s="507"/>
      <c r="D25" s="507"/>
      <c r="F25" s="117">
        <f>'As-Filed Schedule 2E'!F25</f>
        <v>0</v>
      </c>
      <c r="G25" s="313">
        <f>SUMIFS(Adjustments!$G:$G,Adjustments!$H:$H,"2E",Adjustments!$I:$I,'Schedule 2E Adjustments'!$F$12,Adjustments!$J:$J,'Schedule 2E Adjustments'!$A25)</f>
        <v>0</v>
      </c>
      <c r="H25" s="309">
        <f t="shared" si="0"/>
        <v>0</v>
      </c>
      <c r="I25" s="68">
        <f>IFERROR(F25*'As-Filed Schedule 1'!$E$103,0)</f>
        <v>0</v>
      </c>
      <c r="J25" s="310">
        <f>IFERROR(H25*'Adjusted Schedule 1'!$E$104,0)</f>
        <v>0</v>
      </c>
      <c r="K25" s="68">
        <f t="shared" si="1"/>
        <v>0</v>
      </c>
      <c r="L25" s="310">
        <f t="shared" si="2"/>
        <v>0</v>
      </c>
      <c r="N25" s="117">
        <f>'As-Filed Schedule 2E'!J25</f>
        <v>0</v>
      </c>
      <c r="O25" s="313">
        <f>SUMIFS(Adjustments!$G:$G,Adjustments!$H:$H,"2E",Adjustments!$I:$I,'Schedule 2E Adjustments'!$N$12,Adjustments!$J:$J,'Schedule 2E Adjustments'!$A25)</f>
        <v>0</v>
      </c>
      <c r="P25" s="309">
        <f t="shared" si="3"/>
        <v>0</v>
      </c>
      <c r="Q25" s="68">
        <f>IFERROR(N25*'As-Filed Schedule 1'!$E$103,0)</f>
        <v>0</v>
      </c>
      <c r="R25" s="68">
        <f>IFERROR(P25*'Adjusted Schedule 1'!$E$104,0)</f>
        <v>0</v>
      </c>
      <c r="S25" s="68">
        <f t="shared" si="4"/>
        <v>0</v>
      </c>
      <c r="T25" s="310">
        <f t="shared" si="5"/>
        <v>0</v>
      </c>
      <c r="V25" s="120">
        <f>'As-Filed Schedule 2E'!N25</f>
        <v>0</v>
      </c>
      <c r="W25" s="313">
        <f>SUMIFS(Adjustments!$G:$G,Adjustments!$H:$H,"2E",Adjustments!$I:$I,'Schedule 2E Adjustments'!$V$12,Adjustments!$J:$J,'Schedule 2E Adjustments'!$A25)</f>
        <v>0</v>
      </c>
      <c r="X25" s="309">
        <f t="shared" si="6"/>
        <v>0</v>
      </c>
      <c r="Y25" s="120">
        <f>'As-Filed Schedule 2E'!O25</f>
        <v>0</v>
      </c>
      <c r="Z25" s="313">
        <f>SUMIFS(Adjustments!$G:$G,Adjustments!$H:$H,"2E",Adjustments!$I:$I,'Schedule 2E Adjustments'!$Y$12,Adjustments!$J:$J,'Schedule 2E Adjustments'!$A25)</f>
        <v>0</v>
      </c>
      <c r="AA25" s="309">
        <f t="shared" si="7"/>
        <v>0</v>
      </c>
    </row>
    <row r="26" spans="1:27" x14ac:dyDescent="0.35">
      <c r="A26" s="24">
        <v>12</v>
      </c>
      <c r="B26" s="507" t="str">
        <f>IF('As-Filed Schedule 2E'!B26:D26=0,"",'As-Filed Schedule 2E'!B26:D26)</f>
        <v/>
      </c>
      <c r="C26" s="507"/>
      <c r="D26" s="507"/>
      <c r="F26" s="117">
        <f>'As-Filed Schedule 2E'!F26</f>
        <v>0</v>
      </c>
      <c r="G26" s="313">
        <f>SUMIFS(Adjustments!$G:$G,Adjustments!$H:$H,"2E",Adjustments!$I:$I,'Schedule 2E Adjustments'!$F$12,Adjustments!$J:$J,'Schedule 2E Adjustments'!$A26)</f>
        <v>0</v>
      </c>
      <c r="H26" s="309">
        <f t="shared" si="0"/>
        <v>0</v>
      </c>
      <c r="I26" s="68">
        <f>IFERROR(F26*'As-Filed Schedule 1'!$E$103,0)</f>
        <v>0</v>
      </c>
      <c r="J26" s="310">
        <f>IFERROR(H26*'Adjusted Schedule 1'!$E$104,0)</f>
        <v>0</v>
      </c>
      <c r="K26" s="68">
        <f t="shared" si="1"/>
        <v>0</v>
      </c>
      <c r="L26" s="310">
        <f t="shared" si="2"/>
        <v>0</v>
      </c>
      <c r="N26" s="117">
        <f>'As-Filed Schedule 2E'!J26</f>
        <v>0</v>
      </c>
      <c r="O26" s="313">
        <f>SUMIFS(Adjustments!$G:$G,Adjustments!$H:$H,"2E",Adjustments!$I:$I,'Schedule 2E Adjustments'!$N$12,Adjustments!$J:$J,'Schedule 2E Adjustments'!$A26)</f>
        <v>0</v>
      </c>
      <c r="P26" s="309">
        <f t="shared" si="3"/>
        <v>0</v>
      </c>
      <c r="Q26" s="68">
        <f>IFERROR(N26*'As-Filed Schedule 1'!$E$103,0)</f>
        <v>0</v>
      </c>
      <c r="R26" s="68">
        <f>IFERROR(P26*'Adjusted Schedule 1'!$E$104,0)</f>
        <v>0</v>
      </c>
      <c r="S26" s="68">
        <f t="shared" si="4"/>
        <v>0</v>
      </c>
      <c r="T26" s="310">
        <f t="shared" si="5"/>
        <v>0</v>
      </c>
      <c r="V26" s="120">
        <f>'As-Filed Schedule 2E'!N26</f>
        <v>0</v>
      </c>
      <c r="W26" s="313">
        <f>SUMIFS(Adjustments!$G:$G,Adjustments!$H:$H,"2E",Adjustments!$I:$I,'Schedule 2E Adjustments'!$V$12,Adjustments!$J:$J,'Schedule 2E Adjustments'!$A26)</f>
        <v>0</v>
      </c>
      <c r="X26" s="309">
        <f t="shared" si="6"/>
        <v>0</v>
      </c>
      <c r="Y26" s="120">
        <f>'As-Filed Schedule 2E'!O26</f>
        <v>0</v>
      </c>
      <c r="Z26" s="313">
        <f>SUMIFS(Adjustments!$G:$G,Adjustments!$H:$H,"2E",Adjustments!$I:$I,'Schedule 2E Adjustments'!$Y$12,Adjustments!$J:$J,'Schedule 2E Adjustments'!$A26)</f>
        <v>0</v>
      </c>
      <c r="AA26" s="309">
        <f t="shared" si="7"/>
        <v>0</v>
      </c>
    </row>
    <row r="27" spans="1:27" x14ac:dyDescent="0.35">
      <c r="A27" s="24">
        <v>13</v>
      </c>
      <c r="B27" s="507" t="str">
        <f>IF('As-Filed Schedule 2E'!B27:D27=0,"",'As-Filed Schedule 2E'!B27:D27)</f>
        <v/>
      </c>
      <c r="C27" s="507"/>
      <c r="D27" s="507"/>
      <c r="F27" s="117">
        <f>'As-Filed Schedule 2E'!F27</f>
        <v>0</v>
      </c>
      <c r="G27" s="313">
        <f>SUMIFS(Adjustments!$G:$G,Adjustments!$H:$H,"2E",Adjustments!$I:$I,'Schedule 2E Adjustments'!$F$12,Adjustments!$J:$J,'Schedule 2E Adjustments'!$A27)</f>
        <v>0</v>
      </c>
      <c r="H27" s="309">
        <f t="shared" si="0"/>
        <v>0</v>
      </c>
      <c r="I27" s="68">
        <f>IFERROR(F27*'As-Filed Schedule 1'!$E$103,0)</f>
        <v>0</v>
      </c>
      <c r="J27" s="310">
        <f>IFERROR(H27*'Adjusted Schedule 1'!$E$104,0)</f>
        <v>0</v>
      </c>
      <c r="K27" s="68">
        <f t="shared" si="1"/>
        <v>0</v>
      </c>
      <c r="L27" s="310">
        <f t="shared" si="2"/>
        <v>0</v>
      </c>
      <c r="N27" s="117">
        <f>'As-Filed Schedule 2E'!J27</f>
        <v>0</v>
      </c>
      <c r="O27" s="313">
        <f>SUMIFS(Adjustments!$G:$G,Adjustments!$H:$H,"2E",Adjustments!$I:$I,'Schedule 2E Adjustments'!$N$12,Adjustments!$J:$J,'Schedule 2E Adjustments'!$A27)</f>
        <v>0</v>
      </c>
      <c r="P27" s="309">
        <f t="shared" si="3"/>
        <v>0</v>
      </c>
      <c r="Q27" s="68">
        <f>IFERROR(N27*'As-Filed Schedule 1'!$E$103,0)</f>
        <v>0</v>
      </c>
      <c r="R27" s="68">
        <f>IFERROR(P27*'Adjusted Schedule 1'!$E$104,0)</f>
        <v>0</v>
      </c>
      <c r="S27" s="68">
        <f t="shared" si="4"/>
        <v>0</v>
      </c>
      <c r="T27" s="310">
        <f t="shared" si="5"/>
        <v>0</v>
      </c>
      <c r="V27" s="120">
        <f>'As-Filed Schedule 2E'!N27</f>
        <v>0</v>
      </c>
      <c r="W27" s="313">
        <f>SUMIFS(Adjustments!$G:$G,Adjustments!$H:$H,"2E",Adjustments!$I:$I,'Schedule 2E Adjustments'!$V$12,Adjustments!$J:$J,'Schedule 2E Adjustments'!$A27)</f>
        <v>0</v>
      </c>
      <c r="X27" s="309">
        <f t="shared" si="6"/>
        <v>0</v>
      </c>
      <c r="Y27" s="120">
        <f>'As-Filed Schedule 2E'!O27</f>
        <v>0</v>
      </c>
      <c r="Z27" s="313">
        <f>SUMIFS(Adjustments!$G:$G,Adjustments!$H:$H,"2E",Adjustments!$I:$I,'Schedule 2E Adjustments'!$Y$12,Adjustments!$J:$J,'Schedule 2E Adjustments'!$A27)</f>
        <v>0</v>
      </c>
      <c r="AA27" s="309">
        <f t="shared" si="7"/>
        <v>0</v>
      </c>
    </row>
    <row r="28" spans="1:27" x14ac:dyDescent="0.35">
      <c r="A28" s="24">
        <v>14</v>
      </c>
      <c r="B28" s="507" t="str">
        <f>IF('As-Filed Schedule 2E'!B28:D28=0,"",'As-Filed Schedule 2E'!B28:D28)</f>
        <v/>
      </c>
      <c r="C28" s="507"/>
      <c r="D28" s="507"/>
      <c r="F28" s="117">
        <f>'As-Filed Schedule 2E'!F28</f>
        <v>0</v>
      </c>
      <c r="G28" s="313">
        <f>SUMIFS(Adjustments!$G:$G,Adjustments!$H:$H,"2E",Adjustments!$I:$I,'Schedule 2E Adjustments'!$F$12,Adjustments!$J:$J,'Schedule 2E Adjustments'!$A28)</f>
        <v>0</v>
      </c>
      <c r="H28" s="309">
        <f t="shared" si="0"/>
        <v>0</v>
      </c>
      <c r="I28" s="68">
        <f>IFERROR(F28*'As-Filed Schedule 1'!$E$103,0)</f>
        <v>0</v>
      </c>
      <c r="J28" s="310">
        <f>IFERROR(H28*'Adjusted Schedule 1'!$E$104,0)</f>
        <v>0</v>
      </c>
      <c r="K28" s="68">
        <f t="shared" si="1"/>
        <v>0</v>
      </c>
      <c r="L28" s="310">
        <f t="shared" si="2"/>
        <v>0</v>
      </c>
      <c r="N28" s="117">
        <f>'As-Filed Schedule 2E'!J28</f>
        <v>0</v>
      </c>
      <c r="O28" s="313">
        <f>SUMIFS(Adjustments!$G:$G,Adjustments!$H:$H,"2E",Adjustments!$I:$I,'Schedule 2E Adjustments'!$N$12,Adjustments!$J:$J,'Schedule 2E Adjustments'!$A28)</f>
        <v>0</v>
      </c>
      <c r="P28" s="309">
        <f t="shared" si="3"/>
        <v>0</v>
      </c>
      <c r="Q28" s="68">
        <f>IFERROR(N28*'As-Filed Schedule 1'!$E$103,0)</f>
        <v>0</v>
      </c>
      <c r="R28" s="68">
        <f>IFERROR(P28*'Adjusted Schedule 1'!$E$104,0)</f>
        <v>0</v>
      </c>
      <c r="S28" s="68">
        <f t="shared" si="4"/>
        <v>0</v>
      </c>
      <c r="T28" s="310">
        <f t="shared" si="5"/>
        <v>0</v>
      </c>
      <c r="V28" s="120">
        <f>'As-Filed Schedule 2E'!N28</f>
        <v>0</v>
      </c>
      <c r="W28" s="313">
        <f>SUMIFS(Adjustments!$G:$G,Adjustments!$H:$H,"2E",Adjustments!$I:$I,'Schedule 2E Adjustments'!$V$12,Adjustments!$J:$J,'Schedule 2E Adjustments'!$A28)</f>
        <v>0</v>
      </c>
      <c r="X28" s="309">
        <f t="shared" si="6"/>
        <v>0</v>
      </c>
      <c r="Y28" s="120">
        <f>'As-Filed Schedule 2E'!O28</f>
        <v>0</v>
      </c>
      <c r="Z28" s="313">
        <f>SUMIFS(Adjustments!$G:$G,Adjustments!$H:$H,"2E",Adjustments!$I:$I,'Schedule 2E Adjustments'!$Y$12,Adjustments!$J:$J,'Schedule 2E Adjustments'!$A28)</f>
        <v>0</v>
      </c>
      <c r="AA28" s="309">
        <f t="shared" si="7"/>
        <v>0</v>
      </c>
    </row>
    <row r="29" spans="1:27" x14ac:dyDescent="0.35">
      <c r="A29" s="24">
        <v>15</v>
      </c>
      <c r="B29" s="507" t="str">
        <f>IF('As-Filed Schedule 2E'!B29:D29=0,"",'As-Filed Schedule 2E'!B29:D29)</f>
        <v/>
      </c>
      <c r="C29" s="507"/>
      <c r="D29" s="507"/>
      <c r="F29" s="117">
        <f>'As-Filed Schedule 2E'!F29</f>
        <v>0</v>
      </c>
      <c r="G29" s="313">
        <f>SUMIFS(Adjustments!$G:$G,Adjustments!$H:$H,"2E",Adjustments!$I:$I,'Schedule 2E Adjustments'!$F$12,Adjustments!$J:$J,'Schedule 2E Adjustments'!$A29)</f>
        <v>0</v>
      </c>
      <c r="H29" s="309">
        <f t="shared" si="0"/>
        <v>0</v>
      </c>
      <c r="I29" s="68">
        <f>IFERROR(F29*'As-Filed Schedule 1'!$E$103,0)</f>
        <v>0</v>
      </c>
      <c r="J29" s="310">
        <f>IFERROR(H29*'Adjusted Schedule 1'!$E$104,0)</f>
        <v>0</v>
      </c>
      <c r="K29" s="68">
        <f t="shared" si="1"/>
        <v>0</v>
      </c>
      <c r="L29" s="310">
        <f t="shared" si="2"/>
        <v>0</v>
      </c>
      <c r="N29" s="117">
        <f>'As-Filed Schedule 2E'!J29</f>
        <v>0</v>
      </c>
      <c r="O29" s="313">
        <f>SUMIFS(Adjustments!$G:$G,Adjustments!$H:$H,"2E",Adjustments!$I:$I,'Schedule 2E Adjustments'!$N$12,Adjustments!$J:$J,'Schedule 2E Adjustments'!$A29)</f>
        <v>0</v>
      </c>
      <c r="P29" s="309">
        <f t="shared" si="3"/>
        <v>0</v>
      </c>
      <c r="Q29" s="68">
        <f>IFERROR(N29*'As-Filed Schedule 1'!$E$103,0)</f>
        <v>0</v>
      </c>
      <c r="R29" s="68">
        <f>IFERROR(P29*'Adjusted Schedule 1'!$E$104,0)</f>
        <v>0</v>
      </c>
      <c r="S29" s="68">
        <f t="shared" si="4"/>
        <v>0</v>
      </c>
      <c r="T29" s="310">
        <f t="shared" si="5"/>
        <v>0</v>
      </c>
      <c r="V29" s="120">
        <f>'As-Filed Schedule 2E'!N29</f>
        <v>0</v>
      </c>
      <c r="W29" s="313">
        <f>SUMIFS(Adjustments!$G:$G,Adjustments!$H:$H,"2E",Adjustments!$I:$I,'Schedule 2E Adjustments'!$V$12,Adjustments!$J:$J,'Schedule 2E Adjustments'!$A29)</f>
        <v>0</v>
      </c>
      <c r="X29" s="309">
        <f t="shared" si="6"/>
        <v>0</v>
      </c>
      <c r="Y29" s="120">
        <f>'As-Filed Schedule 2E'!O29</f>
        <v>0</v>
      </c>
      <c r="Z29" s="313">
        <f>SUMIFS(Adjustments!$G:$G,Adjustments!$H:$H,"2E",Adjustments!$I:$I,'Schedule 2E Adjustments'!$Y$12,Adjustments!$J:$J,'Schedule 2E Adjustments'!$A29)</f>
        <v>0</v>
      </c>
      <c r="AA29" s="309">
        <f t="shared" si="7"/>
        <v>0</v>
      </c>
    </row>
    <row r="30" spans="1:27" x14ac:dyDescent="0.35">
      <c r="A30" s="24">
        <v>16</v>
      </c>
      <c r="B30" s="507" t="str">
        <f>IF('As-Filed Schedule 2E'!B30:D30=0,"",'As-Filed Schedule 2E'!B30:D30)</f>
        <v/>
      </c>
      <c r="C30" s="507"/>
      <c r="D30" s="507"/>
      <c r="F30" s="117">
        <f>'As-Filed Schedule 2E'!F30</f>
        <v>0</v>
      </c>
      <c r="G30" s="313">
        <f>SUMIFS(Adjustments!$G:$G,Adjustments!$H:$H,"2E",Adjustments!$I:$I,'Schedule 2E Adjustments'!$F$12,Adjustments!$J:$J,'Schedule 2E Adjustments'!$A30)</f>
        <v>0</v>
      </c>
      <c r="H30" s="309">
        <f t="shared" si="0"/>
        <v>0</v>
      </c>
      <c r="I30" s="68">
        <f>IFERROR(F30*'As-Filed Schedule 1'!$E$103,0)</f>
        <v>0</v>
      </c>
      <c r="J30" s="310">
        <f>IFERROR(H30*'Adjusted Schedule 1'!$E$104,0)</f>
        <v>0</v>
      </c>
      <c r="K30" s="68">
        <f t="shared" si="1"/>
        <v>0</v>
      </c>
      <c r="L30" s="310">
        <f t="shared" si="2"/>
        <v>0</v>
      </c>
      <c r="N30" s="117">
        <f>'As-Filed Schedule 2E'!J30</f>
        <v>0</v>
      </c>
      <c r="O30" s="313">
        <f>SUMIFS(Adjustments!$G:$G,Adjustments!$H:$H,"2E",Adjustments!$I:$I,'Schedule 2E Adjustments'!$N$12,Adjustments!$J:$J,'Schedule 2E Adjustments'!$A30)</f>
        <v>0</v>
      </c>
      <c r="P30" s="309">
        <f t="shared" si="3"/>
        <v>0</v>
      </c>
      <c r="Q30" s="68">
        <f>IFERROR(N30*'As-Filed Schedule 1'!$E$103,0)</f>
        <v>0</v>
      </c>
      <c r="R30" s="68">
        <f>IFERROR(P30*'Adjusted Schedule 1'!$E$104,0)</f>
        <v>0</v>
      </c>
      <c r="S30" s="68">
        <f t="shared" si="4"/>
        <v>0</v>
      </c>
      <c r="T30" s="310">
        <f t="shared" si="5"/>
        <v>0</v>
      </c>
      <c r="V30" s="120">
        <f>'As-Filed Schedule 2E'!N30</f>
        <v>0</v>
      </c>
      <c r="W30" s="313">
        <f>SUMIFS(Adjustments!$G:$G,Adjustments!$H:$H,"2E",Adjustments!$I:$I,'Schedule 2E Adjustments'!$V$12,Adjustments!$J:$J,'Schedule 2E Adjustments'!$A30)</f>
        <v>0</v>
      </c>
      <c r="X30" s="309">
        <f t="shared" si="6"/>
        <v>0</v>
      </c>
      <c r="Y30" s="120">
        <f>'As-Filed Schedule 2E'!O30</f>
        <v>0</v>
      </c>
      <c r="Z30" s="313">
        <f>SUMIFS(Adjustments!$G:$G,Adjustments!$H:$H,"2E",Adjustments!$I:$I,'Schedule 2E Adjustments'!$Y$12,Adjustments!$J:$J,'Schedule 2E Adjustments'!$A30)</f>
        <v>0</v>
      </c>
      <c r="AA30" s="309">
        <f t="shared" si="7"/>
        <v>0</v>
      </c>
    </row>
    <row r="31" spans="1:27" x14ac:dyDescent="0.35">
      <c r="A31" s="24">
        <v>17</v>
      </c>
      <c r="B31" s="507" t="str">
        <f>IF('As-Filed Schedule 2E'!B31:D31=0,"",'As-Filed Schedule 2E'!B31:D31)</f>
        <v/>
      </c>
      <c r="C31" s="507"/>
      <c r="D31" s="507"/>
      <c r="F31" s="117">
        <f>'As-Filed Schedule 2E'!F31</f>
        <v>0</v>
      </c>
      <c r="G31" s="313">
        <f>SUMIFS(Adjustments!$G:$G,Adjustments!$H:$H,"2E",Adjustments!$I:$I,'Schedule 2E Adjustments'!$F$12,Adjustments!$J:$J,'Schedule 2E Adjustments'!$A31)</f>
        <v>0</v>
      </c>
      <c r="H31" s="309">
        <f t="shared" si="0"/>
        <v>0</v>
      </c>
      <c r="I31" s="68">
        <f>IFERROR(F31*'As-Filed Schedule 1'!$E$103,0)</f>
        <v>0</v>
      </c>
      <c r="J31" s="310">
        <f>IFERROR(H31*'Adjusted Schedule 1'!$E$104,0)</f>
        <v>0</v>
      </c>
      <c r="K31" s="68">
        <f t="shared" si="1"/>
        <v>0</v>
      </c>
      <c r="L31" s="310">
        <f t="shared" si="2"/>
        <v>0</v>
      </c>
      <c r="N31" s="117">
        <f>'As-Filed Schedule 2E'!J31</f>
        <v>0</v>
      </c>
      <c r="O31" s="313">
        <f>SUMIFS(Adjustments!$G:$G,Adjustments!$H:$H,"2E",Adjustments!$I:$I,'Schedule 2E Adjustments'!$N$12,Adjustments!$J:$J,'Schedule 2E Adjustments'!$A31)</f>
        <v>0</v>
      </c>
      <c r="P31" s="309">
        <f t="shared" si="3"/>
        <v>0</v>
      </c>
      <c r="Q31" s="68">
        <f>IFERROR(N31*'As-Filed Schedule 1'!$E$103,0)</f>
        <v>0</v>
      </c>
      <c r="R31" s="68">
        <f>IFERROR(P31*'Adjusted Schedule 1'!$E$104,0)</f>
        <v>0</v>
      </c>
      <c r="S31" s="68">
        <f t="shared" si="4"/>
        <v>0</v>
      </c>
      <c r="T31" s="310">
        <f t="shared" si="5"/>
        <v>0</v>
      </c>
      <c r="V31" s="120">
        <f>'As-Filed Schedule 2E'!N31</f>
        <v>0</v>
      </c>
      <c r="W31" s="313">
        <f>SUMIFS(Adjustments!$G:$G,Adjustments!$H:$H,"2E",Adjustments!$I:$I,'Schedule 2E Adjustments'!$V$12,Adjustments!$J:$J,'Schedule 2E Adjustments'!$A31)</f>
        <v>0</v>
      </c>
      <c r="X31" s="309">
        <f t="shared" si="6"/>
        <v>0</v>
      </c>
      <c r="Y31" s="120">
        <f>'As-Filed Schedule 2E'!O31</f>
        <v>0</v>
      </c>
      <c r="Z31" s="313">
        <f>SUMIFS(Adjustments!$G:$G,Adjustments!$H:$H,"2E",Adjustments!$I:$I,'Schedule 2E Adjustments'!$Y$12,Adjustments!$J:$J,'Schedule 2E Adjustments'!$A31)</f>
        <v>0</v>
      </c>
      <c r="AA31" s="309">
        <f t="shared" si="7"/>
        <v>0</v>
      </c>
    </row>
    <row r="32" spans="1:27" x14ac:dyDescent="0.35">
      <c r="A32" s="24">
        <v>18</v>
      </c>
      <c r="B32" s="507" t="str">
        <f>IF('As-Filed Schedule 2E'!B32:D32=0,"",'As-Filed Schedule 2E'!B32:D32)</f>
        <v/>
      </c>
      <c r="C32" s="507"/>
      <c r="D32" s="507"/>
      <c r="F32" s="117">
        <f>'As-Filed Schedule 2E'!F32</f>
        <v>0</v>
      </c>
      <c r="G32" s="313">
        <f>SUMIFS(Adjustments!$G:$G,Adjustments!$H:$H,"2E",Adjustments!$I:$I,'Schedule 2E Adjustments'!$F$12,Adjustments!$J:$J,'Schedule 2E Adjustments'!$A32)</f>
        <v>0</v>
      </c>
      <c r="H32" s="309">
        <f t="shared" si="0"/>
        <v>0</v>
      </c>
      <c r="I32" s="68">
        <f>IFERROR(F32*'As-Filed Schedule 1'!$E$103,0)</f>
        <v>0</v>
      </c>
      <c r="J32" s="310">
        <f>IFERROR(H32*'Adjusted Schedule 1'!$E$104,0)</f>
        <v>0</v>
      </c>
      <c r="K32" s="68">
        <f t="shared" si="1"/>
        <v>0</v>
      </c>
      <c r="L32" s="310">
        <f t="shared" si="2"/>
        <v>0</v>
      </c>
      <c r="N32" s="117">
        <f>'As-Filed Schedule 2E'!J32</f>
        <v>0</v>
      </c>
      <c r="O32" s="313">
        <f>SUMIFS(Adjustments!$G:$G,Adjustments!$H:$H,"2E",Adjustments!$I:$I,'Schedule 2E Adjustments'!$N$12,Adjustments!$J:$J,'Schedule 2E Adjustments'!$A32)</f>
        <v>0</v>
      </c>
      <c r="P32" s="309">
        <f t="shared" si="3"/>
        <v>0</v>
      </c>
      <c r="Q32" s="68">
        <f>IFERROR(N32*'As-Filed Schedule 1'!$E$103,0)</f>
        <v>0</v>
      </c>
      <c r="R32" s="68">
        <f>IFERROR(P32*'Adjusted Schedule 1'!$E$104,0)</f>
        <v>0</v>
      </c>
      <c r="S32" s="68">
        <f t="shared" si="4"/>
        <v>0</v>
      </c>
      <c r="T32" s="310">
        <f t="shared" si="5"/>
        <v>0</v>
      </c>
      <c r="V32" s="120">
        <f>'As-Filed Schedule 2E'!N32</f>
        <v>0</v>
      </c>
      <c r="W32" s="313">
        <f>SUMIFS(Adjustments!$G:$G,Adjustments!$H:$H,"2E",Adjustments!$I:$I,'Schedule 2E Adjustments'!$V$12,Adjustments!$J:$J,'Schedule 2E Adjustments'!$A32)</f>
        <v>0</v>
      </c>
      <c r="X32" s="309">
        <f t="shared" si="6"/>
        <v>0</v>
      </c>
      <c r="Y32" s="120">
        <f>'As-Filed Schedule 2E'!O32</f>
        <v>0</v>
      </c>
      <c r="Z32" s="313">
        <f>SUMIFS(Adjustments!$G:$G,Adjustments!$H:$H,"2E",Adjustments!$I:$I,'Schedule 2E Adjustments'!$Y$12,Adjustments!$J:$J,'Schedule 2E Adjustments'!$A32)</f>
        <v>0</v>
      </c>
      <c r="AA32" s="309">
        <f t="shared" si="7"/>
        <v>0</v>
      </c>
    </row>
    <row r="33" spans="1:27" x14ac:dyDescent="0.35">
      <c r="A33" s="24">
        <v>19</v>
      </c>
      <c r="B33" s="507" t="str">
        <f>IF('As-Filed Schedule 2E'!B33:D33=0,"",'As-Filed Schedule 2E'!B33:D33)</f>
        <v/>
      </c>
      <c r="C33" s="507"/>
      <c r="D33" s="507"/>
      <c r="F33" s="117">
        <f>'As-Filed Schedule 2E'!F33</f>
        <v>0</v>
      </c>
      <c r="G33" s="313">
        <f>SUMIFS(Adjustments!$G:$G,Adjustments!$H:$H,"2E",Adjustments!$I:$I,'Schedule 2E Adjustments'!$F$12,Adjustments!$J:$J,'Schedule 2E Adjustments'!$A33)</f>
        <v>0</v>
      </c>
      <c r="H33" s="309">
        <f t="shared" si="0"/>
        <v>0</v>
      </c>
      <c r="I33" s="68">
        <f>IFERROR(F33*'As-Filed Schedule 1'!$E$103,0)</f>
        <v>0</v>
      </c>
      <c r="J33" s="310">
        <f>IFERROR(H33*'Adjusted Schedule 1'!$E$104,0)</f>
        <v>0</v>
      </c>
      <c r="K33" s="68">
        <f t="shared" si="1"/>
        <v>0</v>
      </c>
      <c r="L33" s="310">
        <f t="shared" si="2"/>
        <v>0</v>
      </c>
      <c r="N33" s="117">
        <f>'As-Filed Schedule 2E'!J33</f>
        <v>0</v>
      </c>
      <c r="O33" s="313">
        <f>SUMIFS(Adjustments!$G:$G,Adjustments!$H:$H,"2E",Adjustments!$I:$I,'Schedule 2E Adjustments'!$N$12,Adjustments!$J:$J,'Schedule 2E Adjustments'!$A33)</f>
        <v>0</v>
      </c>
      <c r="P33" s="309">
        <f t="shared" si="3"/>
        <v>0</v>
      </c>
      <c r="Q33" s="68">
        <f>IFERROR(N33*'As-Filed Schedule 1'!$E$103,0)</f>
        <v>0</v>
      </c>
      <c r="R33" s="68">
        <f>IFERROR(P33*'Adjusted Schedule 1'!$E$104,0)</f>
        <v>0</v>
      </c>
      <c r="S33" s="68">
        <f t="shared" si="4"/>
        <v>0</v>
      </c>
      <c r="T33" s="310">
        <f t="shared" si="5"/>
        <v>0</v>
      </c>
      <c r="V33" s="120">
        <f>'As-Filed Schedule 2E'!N33</f>
        <v>0</v>
      </c>
      <c r="W33" s="313">
        <f>SUMIFS(Adjustments!$G:$G,Adjustments!$H:$H,"2E",Adjustments!$I:$I,'Schedule 2E Adjustments'!$V$12,Adjustments!$J:$J,'Schedule 2E Adjustments'!$A33)</f>
        <v>0</v>
      </c>
      <c r="X33" s="309">
        <f t="shared" si="6"/>
        <v>0</v>
      </c>
      <c r="Y33" s="120">
        <f>'As-Filed Schedule 2E'!O33</f>
        <v>0</v>
      </c>
      <c r="Z33" s="313">
        <f>SUMIFS(Adjustments!$G:$G,Adjustments!$H:$H,"2E",Adjustments!$I:$I,'Schedule 2E Adjustments'!$Y$12,Adjustments!$J:$J,'Schedule 2E Adjustments'!$A33)</f>
        <v>0</v>
      </c>
      <c r="AA33" s="309">
        <f t="shared" si="7"/>
        <v>0</v>
      </c>
    </row>
    <row r="34" spans="1:27" x14ac:dyDescent="0.35">
      <c r="A34" s="24">
        <v>20</v>
      </c>
      <c r="B34" s="507" t="str">
        <f>IF('As-Filed Schedule 2E'!B34:D34=0,"",'As-Filed Schedule 2E'!B34:D34)</f>
        <v/>
      </c>
      <c r="C34" s="507"/>
      <c r="D34" s="507"/>
      <c r="F34" s="117">
        <f>'As-Filed Schedule 2E'!F34</f>
        <v>0</v>
      </c>
      <c r="G34" s="313">
        <f>SUMIFS(Adjustments!$G:$G,Adjustments!$H:$H,"2E",Adjustments!$I:$I,'Schedule 2E Adjustments'!$F$12,Adjustments!$J:$J,'Schedule 2E Adjustments'!$A34)</f>
        <v>0</v>
      </c>
      <c r="H34" s="309">
        <f t="shared" si="0"/>
        <v>0</v>
      </c>
      <c r="I34" s="68">
        <f>IFERROR(F34*'As-Filed Schedule 1'!$E$103,0)</f>
        <v>0</v>
      </c>
      <c r="J34" s="310">
        <f>IFERROR(H34*'Adjusted Schedule 1'!$E$104,0)</f>
        <v>0</v>
      </c>
      <c r="K34" s="68">
        <f t="shared" si="1"/>
        <v>0</v>
      </c>
      <c r="L34" s="310">
        <f t="shared" si="2"/>
        <v>0</v>
      </c>
      <c r="N34" s="117">
        <f>'As-Filed Schedule 2E'!J34</f>
        <v>0</v>
      </c>
      <c r="O34" s="313">
        <f>SUMIFS(Adjustments!$G:$G,Adjustments!$H:$H,"2E",Adjustments!$I:$I,'Schedule 2E Adjustments'!$N$12,Adjustments!$J:$J,'Schedule 2E Adjustments'!$A34)</f>
        <v>0</v>
      </c>
      <c r="P34" s="309">
        <f t="shared" si="3"/>
        <v>0</v>
      </c>
      <c r="Q34" s="68">
        <f>IFERROR(N34*'As-Filed Schedule 1'!$E$103,0)</f>
        <v>0</v>
      </c>
      <c r="R34" s="68">
        <f>IFERROR(P34*'Adjusted Schedule 1'!$E$104,0)</f>
        <v>0</v>
      </c>
      <c r="S34" s="68">
        <f t="shared" si="4"/>
        <v>0</v>
      </c>
      <c r="T34" s="310">
        <f t="shared" si="5"/>
        <v>0</v>
      </c>
      <c r="V34" s="120">
        <f>'As-Filed Schedule 2E'!N34</f>
        <v>0</v>
      </c>
      <c r="W34" s="313">
        <f>SUMIFS(Adjustments!$G:$G,Adjustments!$H:$H,"2E",Adjustments!$I:$I,'Schedule 2E Adjustments'!$V$12,Adjustments!$J:$J,'Schedule 2E Adjustments'!$A34)</f>
        <v>0</v>
      </c>
      <c r="X34" s="309">
        <f t="shared" si="6"/>
        <v>0</v>
      </c>
      <c r="Y34" s="120">
        <f>'As-Filed Schedule 2E'!O34</f>
        <v>0</v>
      </c>
      <c r="Z34" s="313">
        <f>SUMIFS(Adjustments!$G:$G,Adjustments!$H:$H,"2E",Adjustments!$I:$I,'Schedule 2E Adjustments'!$Y$12,Adjustments!$J:$J,'Schedule 2E Adjustments'!$A34)</f>
        <v>0</v>
      </c>
      <c r="AA34" s="309">
        <f t="shared" si="7"/>
        <v>0</v>
      </c>
    </row>
    <row r="35" spans="1:27" x14ac:dyDescent="0.35">
      <c r="A35" s="24">
        <v>21</v>
      </c>
      <c r="B35" s="507" t="str">
        <f>IF('As-Filed Schedule 2E'!B35:D35=0,"",'As-Filed Schedule 2E'!B35:D35)</f>
        <v/>
      </c>
      <c r="C35" s="507"/>
      <c r="D35" s="507"/>
      <c r="F35" s="117">
        <f>'As-Filed Schedule 2E'!F35</f>
        <v>0</v>
      </c>
      <c r="G35" s="313">
        <f>SUMIFS(Adjustments!$G:$G,Adjustments!$H:$H,"2E",Adjustments!$I:$I,'Schedule 2E Adjustments'!$F$12,Adjustments!$J:$J,'Schedule 2E Adjustments'!$A35)</f>
        <v>0</v>
      </c>
      <c r="H35" s="309">
        <f t="shared" si="0"/>
        <v>0</v>
      </c>
      <c r="I35" s="68">
        <f>IFERROR(F35*'As-Filed Schedule 1'!$E$103,0)</f>
        <v>0</v>
      </c>
      <c r="J35" s="310">
        <f>IFERROR(H35*'Adjusted Schedule 1'!$E$104,0)</f>
        <v>0</v>
      </c>
      <c r="K35" s="68">
        <f t="shared" si="1"/>
        <v>0</v>
      </c>
      <c r="L35" s="310">
        <f t="shared" si="2"/>
        <v>0</v>
      </c>
      <c r="N35" s="117">
        <f>'As-Filed Schedule 2E'!J35</f>
        <v>0</v>
      </c>
      <c r="O35" s="313">
        <f>SUMIFS(Adjustments!$G:$G,Adjustments!$H:$H,"2E",Adjustments!$I:$I,'Schedule 2E Adjustments'!$N$12,Adjustments!$J:$J,'Schedule 2E Adjustments'!$A35)</f>
        <v>0</v>
      </c>
      <c r="P35" s="309">
        <f t="shared" si="3"/>
        <v>0</v>
      </c>
      <c r="Q35" s="68">
        <f>IFERROR(N35*'As-Filed Schedule 1'!$E$103,0)</f>
        <v>0</v>
      </c>
      <c r="R35" s="68">
        <f>IFERROR(P35*'Adjusted Schedule 1'!$E$104,0)</f>
        <v>0</v>
      </c>
      <c r="S35" s="68">
        <f t="shared" si="4"/>
        <v>0</v>
      </c>
      <c r="T35" s="310">
        <f t="shared" si="5"/>
        <v>0</v>
      </c>
      <c r="V35" s="120">
        <f>'As-Filed Schedule 2E'!N35</f>
        <v>0</v>
      </c>
      <c r="W35" s="313">
        <f>SUMIFS(Adjustments!$G:$G,Adjustments!$H:$H,"2E",Adjustments!$I:$I,'Schedule 2E Adjustments'!$V$12,Adjustments!$J:$J,'Schedule 2E Adjustments'!$A35)</f>
        <v>0</v>
      </c>
      <c r="X35" s="309">
        <f t="shared" si="6"/>
        <v>0</v>
      </c>
      <c r="Y35" s="120">
        <f>'As-Filed Schedule 2E'!O35</f>
        <v>0</v>
      </c>
      <c r="Z35" s="313">
        <f>SUMIFS(Adjustments!$G:$G,Adjustments!$H:$H,"2E",Adjustments!$I:$I,'Schedule 2E Adjustments'!$Y$12,Adjustments!$J:$J,'Schedule 2E Adjustments'!$A35)</f>
        <v>0</v>
      </c>
      <c r="AA35" s="309">
        <f t="shared" si="7"/>
        <v>0</v>
      </c>
    </row>
    <row r="36" spans="1:27" x14ac:dyDescent="0.35">
      <c r="A36" s="24">
        <v>22</v>
      </c>
      <c r="B36" s="507" t="str">
        <f>IF('As-Filed Schedule 2E'!B36:D36=0,"",'As-Filed Schedule 2E'!B36:D36)</f>
        <v/>
      </c>
      <c r="C36" s="507"/>
      <c r="D36" s="507"/>
      <c r="F36" s="117">
        <f>'As-Filed Schedule 2E'!F36</f>
        <v>0</v>
      </c>
      <c r="G36" s="313">
        <f>SUMIFS(Adjustments!$G:$G,Adjustments!$H:$H,"2E",Adjustments!$I:$I,'Schedule 2E Adjustments'!$F$12,Adjustments!$J:$J,'Schedule 2E Adjustments'!$A36)</f>
        <v>0</v>
      </c>
      <c r="H36" s="309">
        <f t="shared" si="0"/>
        <v>0</v>
      </c>
      <c r="I36" s="68">
        <f>IFERROR(F36*'As-Filed Schedule 1'!$E$103,0)</f>
        <v>0</v>
      </c>
      <c r="J36" s="310">
        <f>IFERROR(H36*'Adjusted Schedule 1'!$E$104,0)</f>
        <v>0</v>
      </c>
      <c r="K36" s="68">
        <f t="shared" si="1"/>
        <v>0</v>
      </c>
      <c r="L36" s="310">
        <f t="shared" si="2"/>
        <v>0</v>
      </c>
      <c r="N36" s="117">
        <f>'As-Filed Schedule 2E'!J36</f>
        <v>0</v>
      </c>
      <c r="O36" s="313">
        <f>SUMIFS(Adjustments!$G:$G,Adjustments!$H:$H,"2E",Adjustments!$I:$I,'Schedule 2E Adjustments'!$N$12,Adjustments!$J:$J,'Schedule 2E Adjustments'!$A36)</f>
        <v>0</v>
      </c>
      <c r="P36" s="309">
        <f t="shared" si="3"/>
        <v>0</v>
      </c>
      <c r="Q36" s="68">
        <f>IFERROR(N36*'As-Filed Schedule 1'!$E$103,0)</f>
        <v>0</v>
      </c>
      <c r="R36" s="68">
        <f>IFERROR(P36*'Adjusted Schedule 1'!$E$104,0)</f>
        <v>0</v>
      </c>
      <c r="S36" s="68">
        <f t="shared" si="4"/>
        <v>0</v>
      </c>
      <c r="T36" s="310">
        <f t="shared" si="5"/>
        <v>0</v>
      </c>
      <c r="V36" s="120">
        <f>'As-Filed Schedule 2E'!N36</f>
        <v>0</v>
      </c>
      <c r="W36" s="313">
        <f>SUMIFS(Adjustments!$G:$G,Adjustments!$H:$H,"2E",Adjustments!$I:$I,'Schedule 2E Adjustments'!$V$12,Adjustments!$J:$J,'Schedule 2E Adjustments'!$A36)</f>
        <v>0</v>
      </c>
      <c r="X36" s="309">
        <f t="shared" si="6"/>
        <v>0</v>
      </c>
      <c r="Y36" s="120">
        <f>'As-Filed Schedule 2E'!O36</f>
        <v>0</v>
      </c>
      <c r="Z36" s="313">
        <f>SUMIFS(Adjustments!$G:$G,Adjustments!$H:$H,"2E",Adjustments!$I:$I,'Schedule 2E Adjustments'!$Y$12,Adjustments!$J:$J,'Schedule 2E Adjustments'!$A36)</f>
        <v>0</v>
      </c>
      <c r="AA36" s="309">
        <f t="shared" si="7"/>
        <v>0</v>
      </c>
    </row>
    <row r="37" spans="1:27" x14ac:dyDescent="0.35">
      <c r="A37" s="24">
        <v>23</v>
      </c>
      <c r="B37" s="507" t="str">
        <f>IF('As-Filed Schedule 2E'!B37:D37=0,"",'As-Filed Schedule 2E'!B37:D37)</f>
        <v/>
      </c>
      <c r="C37" s="507"/>
      <c r="D37" s="507"/>
      <c r="F37" s="117">
        <f>'As-Filed Schedule 2E'!F37</f>
        <v>0</v>
      </c>
      <c r="G37" s="313">
        <f>SUMIFS(Adjustments!$G:$G,Adjustments!$H:$H,"2E",Adjustments!$I:$I,'Schedule 2E Adjustments'!$F$12,Adjustments!$J:$J,'Schedule 2E Adjustments'!$A37)</f>
        <v>0</v>
      </c>
      <c r="H37" s="309">
        <f t="shared" si="0"/>
        <v>0</v>
      </c>
      <c r="I37" s="68">
        <f>IFERROR(F37*'As-Filed Schedule 1'!$E$103,0)</f>
        <v>0</v>
      </c>
      <c r="J37" s="310">
        <f>IFERROR(H37*'Adjusted Schedule 1'!$E$104,0)</f>
        <v>0</v>
      </c>
      <c r="K37" s="68">
        <f t="shared" si="1"/>
        <v>0</v>
      </c>
      <c r="L37" s="310">
        <f t="shared" si="2"/>
        <v>0</v>
      </c>
      <c r="N37" s="117">
        <f>'As-Filed Schedule 2E'!J37</f>
        <v>0</v>
      </c>
      <c r="O37" s="313">
        <f>SUMIFS(Adjustments!$G:$G,Adjustments!$H:$H,"2E",Adjustments!$I:$I,'Schedule 2E Adjustments'!$N$12,Adjustments!$J:$J,'Schedule 2E Adjustments'!$A37)</f>
        <v>0</v>
      </c>
      <c r="P37" s="309">
        <f t="shared" si="3"/>
        <v>0</v>
      </c>
      <c r="Q37" s="68">
        <f>IFERROR(N37*'As-Filed Schedule 1'!$E$103,0)</f>
        <v>0</v>
      </c>
      <c r="R37" s="68">
        <f>IFERROR(P37*'Adjusted Schedule 1'!$E$104,0)</f>
        <v>0</v>
      </c>
      <c r="S37" s="68">
        <f t="shared" si="4"/>
        <v>0</v>
      </c>
      <c r="T37" s="310">
        <f t="shared" si="5"/>
        <v>0</v>
      </c>
      <c r="V37" s="120">
        <f>'As-Filed Schedule 2E'!N37</f>
        <v>0</v>
      </c>
      <c r="W37" s="313">
        <f>SUMIFS(Adjustments!$G:$G,Adjustments!$H:$H,"2E",Adjustments!$I:$I,'Schedule 2E Adjustments'!$V$12,Adjustments!$J:$J,'Schedule 2E Adjustments'!$A37)</f>
        <v>0</v>
      </c>
      <c r="X37" s="309">
        <f t="shared" si="6"/>
        <v>0</v>
      </c>
      <c r="Y37" s="120">
        <f>'As-Filed Schedule 2E'!O37</f>
        <v>0</v>
      </c>
      <c r="Z37" s="313">
        <f>SUMIFS(Adjustments!$G:$G,Adjustments!$H:$H,"2E",Adjustments!$I:$I,'Schedule 2E Adjustments'!$Y$12,Adjustments!$J:$J,'Schedule 2E Adjustments'!$A37)</f>
        <v>0</v>
      </c>
      <c r="AA37" s="309">
        <f t="shared" si="7"/>
        <v>0</v>
      </c>
    </row>
    <row r="38" spans="1:27" x14ac:dyDescent="0.35">
      <c r="A38" s="24">
        <v>24</v>
      </c>
      <c r="B38" s="507" t="str">
        <f>IF('As-Filed Schedule 2E'!B38:D38=0,"",'As-Filed Schedule 2E'!B38:D38)</f>
        <v/>
      </c>
      <c r="C38" s="507"/>
      <c r="D38" s="507"/>
      <c r="F38" s="117">
        <f>'As-Filed Schedule 2E'!F38</f>
        <v>0</v>
      </c>
      <c r="G38" s="313">
        <f>SUMIFS(Adjustments!$G:$G,Adjustments!$H:$H,"2E",Adjustments!$I:$I,'Schedule 2E Adjustments'!$F$12,Adjustments!$J:$J,'Schedule 2E Adjustments'!$A38)</f>
        <v>0</v>
      </c>
      <c r="H38" s="309">
        <f t="shared" si="0"/>
        <v>0</v>
      </c>
      <c r="I38" s="68">
        <f>IFERROR(F38*'As-Filed Schedule 1'!$E$103,0)</f>
        <v>0</v>
      </c>
      <c r="J38" s="310">
        <f>IFERROR(H38*'Adjusted Schedule 1'!$E$104,0)</f>
        <v>0</v>
      </c>
      <c r="K38" s="68">
        <f t="shared" si="1"/>
        <v>0</v>
      </c>
      <c r="L38" s="310">
        <f t="shared" si="2"/>
        <v>0</v>
      </c>
      <c r="N38" s="117">
        <f>'As-Filed Schedule 2E'!J38</f>
        <v>0</v>
      </c>
      <c r="O38" s="313">
        <f>SUMIFS(Adjustments!$G:$G,Adjustments!$H:$H,"2E",Adjustments!$I:$I,'Schedule 2E Adjustments'!$N$12,Adjustments!$J:$J,'Schedule 2E Adjustments'!$A38)</f>
        <v>0</v>
      </c>
      <c r="P38" s="309">
        <f t="shared" si="3"/>
        <v>0</v>
      </c>
      <c r="Q38" s="68">
        <f>IFERROR(N38*'As-Filed Schedule 1'!$E$103,0)</f>
        <v>0</v>
      </c>
      <c r="R38" s="68">
        <f>IFERROR(P38*'Adjusted Schedule 1'!$E$104,0)</f>
        <v>0</v>
      </c>
      <c r="S38" s="68">
        <f t="shared" si="4"/>
        <v>0</v>
      </c>
      <c r="T38" s="310">
        <f t="shared" si="5"/>
        <v>0</v>
      </c>
      <c r="V38" s="120">
        <f>'As-Filed Schedule 2E'!N38</f>
        <v>0</v>
      </c>
      <c r="W38" s="313">
        <f>SUMIFS(Adjustments!$G:$G,Adjustments!$H:$H,"2E",Adjustments!$I:$I,'Schedule 2E Adjustments'!$V$12,Adjustments!$J:$J,'Schedule 2E Adjustments'!$A38)</f>
        <v>0</v>
      </c>
      <c r="X38" s="309">
        <f t="shared" si="6"/>
        <v>0</v>
      </c>
      <c r="Y38" s="120">
        <f>'As-Filed Schedule 2E'!O38</f>
        <v>0</v>
      </c>
      <c r="Z38" s="313">
        <f>SUMIFS(Adjustments!$G:$G,Adjustments!$H:$H,"2E",Adjustments!$I:$I,'Schedule 2E Adjustments'!$Y$12,Adjustments!$J:$J,'Schedule 2E Adjustments'!$A38)</f>
        <v>0</v>
      </c>
      <c r="AA38" s="309">
        <f t="shared" si="7"/>
        <v>0</v>
      </c>
    </row>
    <row r="39" spans="1:27" x14ac:dyDescent="0.35">
      <c r="A39" s="24">
        <v>25</v>
      </c>
      <c r="B39" s="507" t="str">
        <f>IF('As-Filed Schedule 2E'!B39:D39=0,"",'As-Filed Schedule 2E'!B39:D39)</f>
        <v/>
      </c>
      <c r="C39" s="507"/>
      <c r="D39" s="507"/>
      <c r="F39" s="117">
        <f>'As-Filed Schedule 2E'!F39</f>
        <v>0</v>
      </c>
      <c r="G39" s="313">
        <f>SUMIFS(Adjustments!$G:$G,Adjustments!$H:$H,"2E",Adjustments!$I:$I,'Schedule 2E Adjustments'!$F$12,Adjustments!$J:$J,'Schedule 2E Adjustments'!$A39)</f>
        <v>0</v>
      </c>
      <c r="H39" s="309">
        <f t="shared" si="0"/>
        <v>0</v>
      </c>
      <c r="I39" s="68">
        <f>IFERROR(F39*'As-Filed Schedule 1'!$E$103,0)</f>
        <v>0</v>
      </c>
      <c r="J39" s="310">
        <f>IFERROR(H39*'Adjusted Schedule 1'!$E$104,0)</f>
        <v>0</v>
      </c>
      <c r="K39" s="68">
        <f t="shared" si="1"/>
        <v>0</v>
      </c>
      <c r="L39" s="310">
        <f t="shared" si="2"/>
        <v>0</v>
      </c>
      <c r="N39" s="117">
        <f>'As-Filed Schedule 2E'!J39</f>
        <v>0</v>
      </c>
      <c r="O39" s="313">
        <f>SUMIFS(Adjustments!$G:$G,Adjustments!$H:$H,"2E",Adjustments!$I:$I,'Schedule 2E Adjustments'!$N$12,Adjustments!$J:$J,'Schedule 2E Adjustments'!$A39)</f>
        <v>0</v>
      </c>
      <c r="P39" s="309">
        <f t="shared" si="3"/>
        <v>0</v>
      </c>
      <c r="Q39" s="68">
        <f>IFERROR(N39*'As-Filed Schedule 1'!$E$103,0)</f>
        <v>0</v>
      </c>
      <c r="R39" s="68">
        <f>IFERROR(P39*'Adjusted Schedule 1'!$E$104,0)</f>
        <v>0</v>
      </c>
      <c r="S39" s="68">
        <f t="shared" si="4"/>
        <v>0</v>
      </c>
      <c r="T39" s="310">
        <f t="shared" si="5"/>
        <v>0</v>
      </c>
      <c r="V39" s="120">
        <f>'As-Filed Schedule 2E'!N39</f>
        <v>0</v>
      </c>
      <c r="W39" s="313">
        <f>SUMIFS(Adjustments!$G:$G,Adjustments!$H:$H,"2E",Adjustments!$I:$I,'Schedule 2E Adjustments'!$V$12,Adjustments!$J:$J,'Schedule 2E Adjustments'!$A39)</f>
        <v>0</v>
      </c>
      <c r="X39" s="309">
        <f t="shared" si="6"/>
        <v>0</v>
      </c>
      <c r="Y39" s="120">
        <f>'As-Filed Schedule 2E'!O39</f>
        <v>0</v>
      </c>
      <c r="Z39" s="313">
        <f>SUMIFS(Adjustments!$G:$G,Adjustments!$H:$H,"2E",Adjustments!$I:$I,'Schedule 2E Adjustments'!$Y$12,Adjustments!$J:$J,'Schedule 2E Adjustments'!$A39)</f>
        <v>0</v>
      </c>
      <c r="AA39" s="309">
        <f t="shared" si="7"/>
        <v>0</v>
      </c>
    </row>
    <row r="40" spans="1:27" x14ac:dyDescent="0.35">
      <c r="A40" s="24">
        <v>26</v>
      </c>
      <c r="B40" s="507" t="str">
        <f>IF('As-Filed Schedule 2E'!B40:D40=0,"",'As-Filed Schedule 2E'!B40:D40)</f>
        <v/>
      </c>
      <c r="C40" s="507"/>
      <c r="D40" s="507"/>
      <c r="F40" s="117">
        <f>'As-Filed Schedule 2E'!F40</f>
        <v>0</v>
      </c>
      <c r="G40" s="313">
        <f>SUMIFS(Adjustments!$G:$G,Adjustments!$H:$H,"2E",Adjustments!$I:$I,'Schedule 2E Adjustments'!$F$12,Adjustments!$J:$J,'Schedule 2E Adjustments'!$A40)</f>
        <v>0</v>
      </c>
      <c r="H40" s="309">
        <f t="shared" si="0"/>
        <v>0</v>
      </c>
      <c r="I40" s="68">
        <f>IFERROR(F40*'As-Filed Schedule 1'!$E$103,0)</f>
        <v>0</v>
      </c>
      <c r="J40" s="310">
        <f>IFERROR(H40*'Adjusted Schedule 1'!$E$104,0)</f>
        <v>0</v>
      </c>
      <c r="K40" s="68">
        <f t="shared" si="1"/>
        <v>0</v>
      </c>
      <c r="L40" s="310">
        <f t="shared" si="2"/>
        <v>0</v>
      </c>
      <c r="N40" s="117">
        <f>'As-Filed Schedule 2E'!J40</f>
        <v>0</v>
      </c>
      <c r="O40" s="313">
        <f>SUMIFS(Adjustments!$G:$G,Adjustments!$H:$H,"2E",Adjustments!$I:$I,'Schedule 2E Adjustments'!$N$12,Adjustments!$J:$J,'Schedule 2E Adjustments'!$A40)</f>
        <v>0</v>
      </c>
      <c r="P40" s="309">
        <f t="shared" si="3"/>
        <v>0</v>
      </c>
      <c r="Q40" s="68">
        <f>IFERROR(N40*'As-Filed Schedule 1'!$E$103,0)</f>
        <v>0</v>
      </c>
      <c r="R40" s="68">
        <f>IFERROR(P40*'Adjusted Schedule 1'!$E$104,0)</f>
        <v>0</v>
      </c>
      <c r="S40" s="68">
        <f t="shared" si="4"/>
        <v>0</v>
      </c>
      <c r="T40" s="310">
        <f t="shared" si="5"/>
        <v>0</v>
      </c>
      <c r="V40" s="120">
        <f>'As-Filed Schedule 2E'!N40</f>
        <v>0</v>
      </c>
      <c r="W40" s="313">
        <f>SUMIFS(Adjustments!$G:$G,Adjustments!$H:$H,"2E",Adjustments!$I:$I,'Schedule 2E Adjustments'!$V$12,Adjustments!$J:$J,'Schedule 2E Adjustments'!$A40)</f>
        <v>0</v>
      </c>
      <c r="X40" s="309">
        <f t="shared" si="6"/>
        <v>0</v>
      </c>
      <c r="Y40" s="120">
        <f>'As-Filed Schedule 2E'!O40</f>
        <v>0</v>
      </c>
      <c r="Z40" s="313">
        <f>SUMIFS(Adjustments!$G:$G,Adjustments!$H:$H,"2E",Adjustments!$I:$I,'Schedule 2E Adjustments'!$Y$12,Adjustments!$J:$J,'Schedule 2E Adjustments'!$A40)</f>
        <v>0</v>
      </c>
      <c r="AA40" s="309">
        <f t="shared" si="7"/>
        <v>0</v>
      </c>
    </row>
    <row r="41" spans="1:27" x14ac:dyDescent="0.35">
      <c r="A41" s="24">
        <v>27</v>
      </c>
      <c r="B41" s="507" t="str">
        <f>IF('As-Filed Schedule 2E'!B41:D41=0,"",'As-Filed Schedule 2E'!B41:D41)</f>
        <v/>
      </c>
      <c r="C41" s="507"/>
      <c r="D41" s="507"/>
      <c r="F41" s="117">
        <f>'As-Filed Schedule 2E'!F41</f>
        <v>0</v>
      </c>
      <c r="G41" s="313">
        <f>SUMIFS(Adjustments!$G:$G,Adjustments!$H:$H,"2E",Adjustments!$I:$I,'Schedule 2E Adjustments'!$F$12,Adjustments!$J:$J,'Schedule 2E Adjustments'!$A41)</f>
        <v>0</v>
      </c>
      <c r="H41" s="309">
        <f t="shared" si="0"/>
        <v>0</v>
      </c>
      <c r="I41" s="68">
        <f>IFERROR(F41*'As-Filed Schedule 1'!$E$103,0)</f>
        <v>0</v>
      </c>
      <c r="J41" s="310">
        <f>IFERROR(H41*'Adjusted Schedule 1'!$E$104,0)</f>
        <v>0</v>
      </c>
      <c r="K41" s="68">
        <f t="shared" si="1"/>
        <v>0</v>
      </c>
      <c r="L41" s="310">
        <f t="shared" si="2"/>
        <v>0</v>
      </c>
      <c r="N41" s="117">
        <f>'As-Filed Schedule 2E'!J41</f>
        <v>0</v>
      </c>
      <c r="O41" s="313">
        <f>SUMIFS(Adjustments!$G:$G,Adjustments!$H:$H,"2E",Adjustments!$I:$I,'Schedule 2E Adjustments'!$N$12,Adjustments!$J:$J,'Schedule 2E Adjustments'!$A41)</f>
        <v>0</v>
      </c>
      <c r="P41" s="309">
        <f t="shared" si="3"/>
        <v>0</v>
      </c>
      <c r="Q41" s="68">
        <f>IFERROR(N41*'As-Filed Schedule 1'!$E$103,0)</f>
        <v>0</v>
      </c>
      <c r="R41" s="68">
        <f>IFERROR(P41*'Adjusted Schedule 1'!$E$104,0)</f>
        <v>0</v>
      </c>
      <c r="S41" s="68">
        <f t="shared" si="4"/>
        <v>0</v>
      </c>
      <c r="T41" s="310">
        <f t="shared" si="5"/>
        <v>0</v>
      </c>
      <c r="V41" s="120">
        <f>'As-Filed Schedule 2E'!N41</f>
        <v>0</v>
      </c>
      <c r="W41" s="313">
        <f>SUMIFS(Adjustments!$G:$G,Adjustments!$H:$H,"2E",Adjustments!$I:$I,'Schedule 2E Adjustments'!$V$12,Adjustments!$J:$J,'Schedule 2E Adjustments'!$A41)</f>
        <v>0</v>
      </c>
      <c r="X41" s="309">
        <f t="shared" si="6"/>
        <v>0</v>
      </c>
      <c r="Y41" s="120">
        <f>'As-Filed Schedule 2E'!O41</f>
        <v>0</v>
      </c>
      <c r="Z41" s="313">
        <f>SUMIFS(Adjustments!$G:$G,Adjustments!$H:$H,"2E",Adjustments!$I:$I,'Schedule 2E Adjustments'!$Y$12,Adjustments!$J:$J,'Schedule 2E Adjustments'!$A41)</f>
        <v>0</v>
      </c>
      <c r="AA41" s="309">
        <f t="shared" si="7"/>
        <v>0</v>
      </c>
    </row>
    <row r="42" spans="1:27" x14ac:dyDescent="0.35">
      <c r="A42" s="24">
        <v>28</v>
      </c>
      <c r="B42" s="507" t="str">
        <f>IF('As-Filed Schedule 2E'!B42:D42=0,"",'As-Filed Schedule 2E'!B42:D42)</f>
        <v/>
      </c>
      <c r="C42" s="507"/>
      <c r="D42" s="507"/>
      <c r="F42" s="117">
        <f>'As-Filed Schedule 2E'!F42</f>
        <v>0</v>
      </c>
      <c r="G42" s="313">
        <f>SUMIFS(Adjustments!$G:$G,Adjustments!$H:$H,"2E",Adjustments!$I:$I,'Schedule 2E Adjustments'!$F$12,Adjustments!$J:$J,'Schedule 2E Adjustments'!$A42)</f>
        <v>0</v>
      </c>
      <c r="H42" s="309">
        <f t="shared" si="0"/>
        <v>0</v>
      </c>
      <c r="I42" s="68">
        <f>IFERROR(F42*'As-Filed Schedule 1'!$E$103,0)</f>
        <v>0</v>
      </c>
      <c r="J42" s="310">
        <f>IFERROR(H42*'Adjusted Schedule 1'!$E$104,0)</f>
        <v>0</v>
      </c>
      <c r="K42" s="68">
        <f t="shared" si="1"/>
        <v>0</v>
      </c>
      <c r="L42" s="310">
        <f t="shared" si="2"/>
        <v>0</v>
      </c>
      <c r="N42" s="117">
        <f>'As-Filed Schedule 2E'!J42</f>
        <v>0</v>
      </c>
      <c r="O42" s="313">
        <f>SUMIFS(Adjustments!$G:$G,Adjustments!$H:$H,"2E",Adjustments!$I:$I,'Schedule 2E Adjustments'!$N$12,Adjustments!$J:$J,'Schedule 2E Adjustments'!$A42)</f>
        <v>0</v>
      </c>
      <c r="P42" s="309">
        <f t="shared" si="3"/>
        <v>0</v>
      </c>
      <c r="Q42" s="68">
        <f>IFERROR(N42*'As-Filed Schedule 1'!$E$103,0)</f>
        <v>0</v>
      </c>
      <c r="R42" s="68">
        <f>IFERROR(P42*'Adjusted Schedule 1'!$E$104,0)</f>
        <v>0</v>
      </c>
      <c r="S42" s="68">
        <f t="shared" si="4"/>
        <v>0</v>
      </c>
      <c r="T42" s="310">
        <f t="shared" si="5"/>
        <v>0</v>
      </c>
      <c r="V42" s="120">
        <f>'As-Filed Schedule 2E'!N42</f>
        <v>0</v>
      </c>
      <c r="W42" s="313">
        <f>SUMIFS(Adjustments!$G:$G,Adjustments!$H:$H,"2E",Adjustments!$I:$I,'Schedule 2E Adjustments'!$V$12,Adjustments!$J:$J,'Schedule 2E Adjustments'!$A42)</f>
        <v>0</v>
      </c>
      <c r="X42" s="309">
        <f t="shared" si="6"/>
        <v>0</v>
      </c>
      <c r="Y42" s="120">
        <f>'As-Filed Schedule 2E'!O42</f>
        <v>0</v>
      </c>
      <c r="Z42" s="313">
        <f>SUMIFS(Adjustments!$G:$G,Adjustments!$H:$H,"2E",Adjustments!$I:$I,'Schedule 2E Adjustments'!$Y$12,Adjustments!$J:$J,'Schedule 2E Adjustments'!$A42)</f>
        <v>0</v>
      </c>
      <c r="AA42" s="309">
        <f t="shared" si="7"/>
        <v>0</v>
      </c>
    </row>
    <row r="43" spans="1:27" x14ac:dyDescent="0.35">
      <c r="A43" s="24">
        <v>29</v>
      </c>
      <c r="B43" s="507" t="str">
        <f>IF('As-Filed Schedule 2E'!B43:D43=0,"",'As-Filed Schedule 2E'!B43:D43)</f>
        <v/>
      </c>
      <c r="C43" s="507"/>
      <c r="D43" s="507"/>
      <c r="F43" s="117">
        <f>'As-Filed Schedule 2E'!F43</f>
        <v>0</v>
      </c>
      <c r="G43" s="313">
        <f>SUMIFS(Adjustments!$G:$G,Adjustments!$H:$H,"2E",Adjustments!$I:$I,'Schedule 2E Adjustments'!$F$12,Adjustments!$J:$J,'Schedule 2E Adjustments'!$A43)</f>
        <v>0</v>
      </c>
      <c r="H43" s="309">
        <f t="shared" si="0"/>
        <v>0</v>
      </c>
      <c r="I43" s="68">
        <f>IFERROR(F43*'As-Filed Schedule 1'!$E$103,0)</f>
        <v>0</v>
      </c>
      <c r="J43" s="310">
        <f>IFERROR(H43*'Adjusted Schedule 1'!$E$104,0)</f>
        <v>0</v>
      </c>
      <c r="K43" s="68">
        <f t="shared" si="1"/>
        <v>0</v>
      </c>
      <c r="L43" s="310">
        <f t="shared" si="2"/>
        <v>0</v>
      </c>
      <c r="N43" s="117">
        <f>'As-Filed Schedule 2E'!J43</f>
        <v>0</v>
      </c>
      <c r="O43" s="313">
        <f>SUMIFS(Adjustments!$G:$G,Adjustments!$H:$H,"2E",Adjustments!$I:$I,'Schedule 2E Adjustments'!$N$12,Adjustments!$J:$J,'Schedule 2E Adjustments'!$A43)</f>
        <v>0</v>
      </c>
      <c r="P43" s="309">
        <f t="shared" si="3"/>
        <v>0</v>
      </c>
      <c r="Q43" s="68">
        <f>IFERROR(N43*'As-Filed Schedule 1'!$E$103,0)</f>
        <v>0</v>
      </c>
      <c r="R43" s="68">
        <f>IFERROR(P43*'Adjusted Schedule 1'!$E$104,0)</f>
        <v>0</v>
      </c>
      <c r="S43" s="68">
        <f t="shared" si="4"/>
        <v>0</v>
      </c>
      <c r="T43" s="310">
        <f t="shared" si="5"/>
        <v>0</v>
      </c>
      <c r="V43" s="120">
        <f>'As-Filed Schedule 2E'!N43</f>
        <v>0</v>
      </c>
      <c r="W43" s="313">
        <f>SUMIFS(Adjustments!$G:$G,Adjustments!$H:$H,"2E",Adjustments!$I:$I,'Schedule 2E Adjustments'!$V$12,Adjustments!$J:$J,'Schedule 2E Adjustments'!$A43)</f>
        <v>0</v>
      </c>
      <c r="X43" s="309">
        <f t="shared" si="6"/>
        <v>0</v>
      </c>
      <c r="Y43" s="120">
        <f>'As-Filed Schedule 2E'!O43</f>
        <v>0</v>
      </c>
      <c r="Z43" s="313">
        <f>SUMIFS(Adjustments!$G:$G,Adjustments!$H:$H,"2E",Adjustments!$I:$I,'Schedule 2E Adjustments'!$Y$12,Adjustments!$J:$J,'Schedule 2E Adjustments'!$A43)</f>
        <v>0</v>
      </c>
      <c r="AA43" s="309">
        <f t="shared" si="7"/>
        <v>0</v>
      </c>
    </row>
    <row r="44" spans="1:27" x14ac:dyDescent="0.35">
      <c r="A44" s="24">
        <v>30</v>
      </c>
      <c r="B44" s="507" t="str">
        <f>IF('As-Filed Schedule 2E'!B44:D44=0,"",'As-Filed Schedule 2E'!B44:D44)</f>
        <v/>
      </c>
      <c r="C44" s="507"/>
      <c r="D44" s="507"/>
      <c r="F44" s="117">
        <f>'As-Filed Schedule 2E'!F44</f>
        <v>0</v>
      </c>
      <c r="G44" s="313">
        <f>SUMIFS(Adjustments!$G:$G,Adjustments!$H:$H,"2E",Adjustments!$I:$I,'Schedule 2E Adjustments'!$F$12,Adjustments!$J:$J,'Schedule 2E Adjustments'!$A44)</f>
        <v>0</v>
      </c>
      <c r="H44" s="309">
        <f t="shared" si="0"/>
        <v>0</v>
      </c>
      <c r="I44" s="68">
        <f>IFERROR(F44*'As-Filed Schedule 1'!$E$103,0)</f>
        <v>0</v>
      </c>
      <c r="J44" s="310">
        <f>IFERROR(H44*'Adjusted Schedule 1'!$E$104,0)</f>
        <v>0</v>
      </c>
      <c r="K44" s="68">
        <f t="shared" si="1"/>
        <v>0</v>
      </c>
      <c r="L44" s="310">
        <f t="shared" si="2"/>
        <v>0</v>
      </c>
      <c r="N44" s="117">
        <f>'As-Filed Schedule 2E'!J44</f>
        <v>0</v>
      </c>
      <c r="O44" s="313">
        <f>SUMIFS(Adjustments!$G:$G,Adjustments!$H:$H,"2E",Adjustments!$I:$I,'Schedule 2E Adjustments'!$N$12,Adjustments!$J:$J,'Schedule 2E Adjustments'!$A44)</f>
        <v>0</v>
      </c>
      <c r="P44" s="309">
        <f t="shared" si="3"/>
        <v>0</v>
      </c>
      <c r="Q44" s="68">
        <f>IFERROR(N44*'As-Filed Schedule 1'!$E$103,0)</f>
        <v>0</v>
      </c>
      <c r="R44" s="68">
        <f>IFERROR(P44*'Adjusted Schedule 1'!$E$104,0)</f>
        <v>0</v>
      </c>
      <c r="S44" s="68">
        <f t="shared" si="4"/>
        <v>0</v>
      </c>
      <c r="T44" s="310">
        <f t="shared" si="5"/>
        <v>0</v>
      </c>
      <c r="V44" s="120">
        <f>'As-Filed Schedule 2E'!N44</f>
        <v>0</v>
      </c>
      <c r="W44" s="313">
        <f>SUMIFS(Adjustments!$G:$G,Adjustments!$H:$H,"2E",Adjustments!$I:$I,'Schedule 2E Adjustments'!$V$12,Adjustments!$J:$J,'Schedule 2E Adjustments'!$A44)</f>
        <v>0</v>
      </c>
      <c r="X44" s="309">
        <f t="shared" si="6"/>
        <v>0</v>
      </c>
      <c r="Y44" s="120">
        <f>'As-Filed Schedule 2E'!O44</f>
        <v>0</v>
      </c>
      <c r="Z44" s="313">
        <f>SUMIFS(Adjustments!$G:$G,Adjustments!$H:$H,"2E",Adjustments!$I:$I,'Schedule 2E Adjustments'!$Y$12,Adjustments!$J:$J,'Schedule 2E Adjustments'!$A44)</f>
        <v>0</v>
      </c>
      <c r="AA44" s="309">
        <f t="shared" si="7"/>
        <v>0</v>
      </c>
    </row>
    <row r="45" spans="1:27" x14ac:dyDescent="0.35">
      <c r="A45" s="24">
        <v>31</v>
      </c>
      <c r="B45" s="507" t="str">
        <f>IF('As-Filed Schedule 2E'!B45:D45=0,"",'As-Filed Schedule 2E'!B45:D45)</f>
        <v/>
      </c>
      <c r="C45" s="507"/>
      <c r="D45" s="507"/>
      <c r="F45" s="117">
        <f>'As-Filed Schedule 2E'!F45</f>
        <v>0</v>
      </c>
      <c r="G45" s="313">
        <f>SUMIFS(Adjustments!$G:$G,Adjustments!$H:$H,"2E",Adjustments!$I:$I,'Schedule 2E Adjustments'!$F$12,Adjustments!$J:$J,'Schedule 2E Adjustments'!$A45)</f>
        <v>0</v>
      </c>
      <c r="H45" s="309">
        <f t="shared" si="0"/>
        <v>0</v>
      </c>
      <c r="I45" s="68">
        <f>IFERROR(F45*'As-Filed Schedule 1'!$E$103,0)</f>
        <v>0</v>
      </c>
      <c r="J45" s="310">
        <f>IFERROR(H45*'Adjusted Schedule 1'!$E$104,0)</f>
        <v>0</v>
      </c>
      <c r="K45" s="68">
        <f t="shared" si="1"/>
        <v>0</v>
      </c>
      <c r="L45" s="310">
        <f t="shared" si="2"/>
        <v>0</v>
      </c>
      <c r="N45" s="117">
        <f>'As-Filed Schedule 2E'!J45</f>
        <v>0</v>
      </c>
      <c r="O45" s="313">
        <f>SUMIFS(Adjustments!$G:$G,Adjustments!$H:$H,"2E",Adjustments!$I:$I,'Schedule 2E Adjustments'!$N$12,Adjustments!$J:$J,'Schedule 2E Adjustments'!$A45)</f>
        <v>0</v>
      </c>
      <c r="P45" s="309">
        <f t="shared" si="3"/>
        <v>0</v>
      </c>
      <c r="Q45" s="68">
        <f>IFERROR(N45*'As-Filed Schedule 1'!$E$103,0)</f>
        <v>0</v>
      </c>
      <c r="R45" s="68">
        <f>IFERROR(P45*'Adjusted Schedule 1'!$E$104,0)</f>
        <v>0</v>
      </c>
      <c r="S45" s="68">
        <f t="shared" si="4"/>
        <v>0</v>
      </c>
      <c r="T45" s="310">
        <f t="shared" si="5"/>
        <v>0</v>
      </c>
      <c r="V45" s="120">
        <f>'As-Filed Schedule 2E'!N45</f>
        <v>0</v>
      </c>
      <c r="W45" s="313">
        <f>SUMIFS(Adjustments!$G:$G,Adjustments!$H:$H,"2E",Adjustments!$I:$I,'Schedule 2E Adjustments'!$V$12,Adjustments!$J:$J,'Schedule 2E Adjustments'!$A45)</f>
        <v>0</v>
      </c>
      <c r="X45" s="309">
        <f t="shared" si="6"/>
        <v>0</v>
      </c>
      <c r="Y45" s="120">
        <f>'As-Filed Schedule 2E'!O45</f>
        <v>0</v>
      </c>
      <c r="Z45" s="313">
        <f>SUMIFS(Adjustments!$G:$G,Adjustments!$H:$H,"2E",Adjustments!$I:$I,'Schedule 2E Adjustments'!$Y$12,Adjustments!$J:$J,'Schedule 2E Adjustments'!$A45)</f>
        <v>0</v>
      </c>
      <c r="AA45" s="309">
        <f t="shared" si="7"/>
        <v>0</v>
      </c>
    </row>
    <row r="46" spans="1:27" x14ac:dyDescent="0.35">
      <c r="A46" s="24">
        <v>32</v>
      </c>
      <c r="B46" s="507" t="str">
        <f>IF('As-Filed Schedule 2E'!B46:D46=0,"",'As-Filed Schedule 2E'!B46:D46)</f>
        <v/>
      </c>
      <c r="C46" s="507"/>
      <c r="D46" s="507"/>
      <c r="F46" s="117">
        <f>'As-Filed Schedule 2E'!F46</f>
        <v>0</v>
      </c>
      <c r="G46" s="313">
        <f>SUMIFS(Adjustments!$G:$G,Adjustments!$H:$H,"2E",Adjustments!$I:$I,'Schedule 2E Adjustments'!$F$12,Adjustments!$J:$J,'Schedule 2E Adjustments'!$A46)</f>
        <v>0</v>
      </c>
      <c r="H46" s="309">
        <f t="shared" si="0"/>
        <v>0</v>
      </c>
      <c r="I46" s="68">
        <f>IFERROR(F46*'As-Filed Schedule 1'!$E$103,0)</f>
        <v>0</v>
      </c>
      <c r="J46" s="310">
        <f>IFERROR(H46*'Adjusted Schedule 1'!$E$104,0)</f>
        <v>0</v>
      </c>
      <c r="K46" s="68">
        <f t="shared" si="1"/>
        <v>0</v>
      </c>
      <c r="L46" s="310">
        <f t="shared" si="2"/>
        <v>0</v>
      </c>
      <c r="N46" s="117">
        <f>'As-Filed Schedule 2E'!J46</f>
        <v>0</v>
      </c>
      <c r="O46" s="313">
        <f>SUMIFS(Adjustments!$G:$G,Adjustments!$H:$H,"2E",Adjustments!$I:$I,'Schedule 2E Adjustments'!$N$12,Adjustments!$J:$J,'Schedule 2E Adjustments'!$A46)</f>
        <v>0</v>
      </c>
      <c r="P46" s="309">
        <f t="shared" si="3"/>
        <v>0</v>
      </c>
      <c r="Q46" s="68">
        <f>IFERROR(N46*'As-Filed Schedule 1'!$E$103,0)</f>
        <v>0</v>
      </c>
      <c r="R46" s="68">
        <f>IFERROR(P46*'Adjusted Schedule 1'!$E$104,0)</f>
        <v>0</v>
      </c>
      <c r="S46" s="68">
        <f t="shared" si="4"/>
        <v>0</v>
      </c>
      <c r="T46" s="310">
        <f t="shared" si="5"/>
        <v>0</v>
      </c>
      <c r="V46" s="120">
        <f>'As-Filed Schedule 2E'!N46</f>
        <v>0</v>
      </c>
      <c r="W46" s="313">
        <f>SUMIFS(Adjustments!$G:$G,Adjustments!$H:$H,"2E",Adjustments!$I:$I,'Schedule 2E Adjustments'!$V$12,Adjustments!$J:$J,'Schedule 2E Adjustments'!$A46)</f>
        <v>0</v>
      </c>
      <c r="X46" s="309">
        <f t="shared" si="6"/>
        <v>0</v>
      </c>
      <c r="Y46" s="120">
        <f>'As-Filed Schedule 2E'!O46</f>
        <v>0</v>
      </c>
      <c r="Z46" s="313">
        <f>SUMIFS(Adjustments!$G:$G,Adjustments!$H:$H,"2E",Adjustments!$I:$I,'Schedule 2E Adjustments'!$Y$12,Adjustments!$J:$J,'Schedule 2E Adjustments'!$A46)</f>
        <v>0</v>
      </c>
      <c r="AA46" s="309">
        <f t="shared" si="7"/>
        <v>0</v>
      </c>
    </row>
    <row r="47" spans="1:27" x14ac:dyDescent="0.35">
      <c r="A47" s="24">
        <v>33</v>
      </c>
      <c r="B47" s="507" t="str">
        <f>IF('As-Filed Schedule 2E'!B47:D47=0,"",'As-Filed Schedule 2E'!B47:D47)</f>
        <v/>
      </c>
      <c r="C47" s="507"/>
      <c r="D47" s="507"/>
      <c r="F47" s="117">
        <f>'As-Filed Schedule 2E'!F47</f>
        <v>0</v>
      </c>
      <c r="G47" s="313">
        <f>SUMIFS(Adjustments!$G:$G,Adjustments!$H:$H,"2E",Adjustments!$I:$I,'Schedule 2E Adjustments'!$F$12,Adjustments!$J:$J,'Schedule 2E Adjustments'!$A47)</f>
        <v>0</v>
      </c>
      <c r="H47" s="309">
        <f t="shared" si="0"/>
        <v>0</v>
      </c>
      <c r="I47" s="68">
        <f>IFERROR(F47*'As-Filed Schedule 1'!$E$103,0)</f>
        <v>0</v>
      </c>
      <c r="J47" s="310">
        <f>IFERROR(H47*'Adjusted Schedule 1'!$E$104,0)</f>
        <v>0</v>
      </c>
      <c r="K47" s="68">
        <f t="shared" si="1"/>
        <v>0</v>
      </c>
      <c r="L47" s="310">
        <f t="shared" si="2"/>
        <v>0</v>
      </c>
      <c r="N47" s="117">
        <f>'As-Filed Schedule 2E'!J47</f>
        <v>0</v>
      </c>
      <c r="O47" s="313">
        <f>SUMIFS(Adjustments!$G:$G,Adjustments!$H:$H,"2E",Adjustments!$I:$I,'Schedule 2E Adjustments'!$N$12,Adjustments!$J:$J,'Schedule 2E Adjustments'!$A47)</f>
        <v>0</v>
      </c>
      <c r="P47" s="309">
        <f t="shared" si="3"/>
        <v>0</v>
      </c>
      <c r="Q47" s="68">
        <f>IFERROR(N47*'As-Filed Schedule 1'!$E$103,0)</f>
        <v>0</v>
      </c>
      <c r="R47" s="68">
        <f>IFERROR(P47*'Adjusted Schedule 1'!$E$104,0)</f>
        <v>0</v>
      </c>
      <c r="S47" s="68">
        <f t="shared" si="4"/>
        <v>0</v>
      </c>
      <c r="T47" s="310">
        <f t="shared" si="5"/>
        <v>0</v>
      </c>
      <c r="V47" s="120">
        <f>'As-Filed Schedule 2E'!N47</f>
        <v>0</v>
      </c>
      <c r="W47" s="313">
        <f>SUMIFS(Adjustments!$G:$G,Adjustments!$H:$H,"2E",Adjustments!$I:$I,'Schedule 2E Adjustments'!$V$12,Adjustments!$J:$J,'Schedule 2E Adjustments'!$A47)</f>
        <v>0</v>
      </c>
      <c r="X47" s="309">
        <f t="shared" si="6"/>
        <v>0</v>
      </c>
      <c r="Y47" s="120">
        <f>'As-Filed Schedule 2E'!O47</f>
        <v>0</v>
      </c>
      <c r="Z47" s="313">
        <f>SUMIFS(Adjustments!$G:$G,Adjustments!$H:$H,"2E",Adjustments!$I:$I,'Schedule 2E Adjustments'!$Y$12,Adjustments!$J:$J,'Schedule 2E Adjustments'!$A47)</f>
        <v>0</v>
      </c>
      <c r="AA47" s="309">
        <f t="shared" si="7"/>
        <v>0</v>
      </c>
    </row>
    <row r="48" spans="1:27" x14ac:dyDescent="0.35">
      <c r="A48" s="24">
        <v>34</v>
      </c>
      <c r="B48" s="507" t="str">
        <f>IF('As-Filed Schedule 2E'!B48:D48=0,"",'As-Filed Schedule 2E'!B48:D48)</f>
        <v/>
      </c>
      <c r="C48" s="507"/>
      <c r="D48" s="507"/>
      <c r="F48" s="117">
        <f>'As-Filed Schedule 2E'!F48</f>
        <v>0</v>
      </c>
      <c r="G48" s="313">
        <f>SUMIFS(Adjustments!$G:$G,Adjustments!$H:$H,"2E",Adjustments!$I:$I,'Schedule 2E Adjustments'!$F$12,Adjustments!$J:$J,'Schedule 2E Adjustments'!$A48)</f>
        <v>0</v>
      </c>
      <c r="H48" s="309">
        <f t="shared" si="0"/>
        <v>0</v>
      </c>
      <c r="I48" s="68">
        <f>IFERROR(F48*'As-Filed Schedule 1'!$E$103,0)</f>
        <v>0</v>
      </c>
      <c r="J48" s="310">
        <f>IFERROR(H48*'Adjusted Schedule 1'!$E$104,0)</f>
        <v>0</v>
      </c>
      <c r="K48" s="68">
        <f t="shared" si="1"/>
        <v>0</v>
      </c>
      <c r="L48" s="310">
        <f t="shared" si="2"/>
        <v>0</v>
      </c>
      <c r="N48" s="117">
        <f>'As-Filed Schedule 2E'!J48</f>
        <v>0</v>
      </c>
      <c r="O48" s="313">
        <f>SUMIFS(Adjustments!$G:$G,Adjustments!$H:$H,"2E",Adjustments!$I:$I,'Schedule 2E Adjustments'!$N$12,Adjustments!$J:$J,'Schedule 2E Adjustments'!$A48)</f>
        <v>0</v>
      </c>
      <c r="P48" s="309">
        <f t="shared" si="3"/>
        <v>0</v>
      </c>
      <c r="Q48" s="68">
        <f>IFERROR(N48*'As-Filed Schedule 1'!$E$103,0)</f>
        <v>0</v>
      </c>
      <c r="R48" s="68">
        <f>IFERROR(P48*'Adjusted Schedule 1'!$E$104,0)</f>
        <v>0</v>
      </c>
      <c r="S48" s="68">
        <f t="shared" si="4"/>
        <v>0</v>
      </c>
      <c r="T48" s="310">
        <f t="shared" si="5"/>
        <v>0</v>
      </c>
      <c r="V48" s="120">
        <f>'As-Filed Schedule 2E'!N48</f>
        <v>0</v>
      </c>
      <c r="W48" s="313">
        <f>SUMIFS(Adjustments!$G:$G,Adjustments!$H:$H,"2E",Adjustments!$I:$I,'Schedule 2E Adjustments'!$V$12,Adjustments!$J:$J,'Schedule 2E Adjustments'!$A48)</f>
        <v>0</v>
      </c>
      <c r="X48" s="309">
        <f t="shared" si="6"/>
        <v>0</v>
      </c>
      <c r="Y48" s="120">
        <f>'As-Filed Schedule 2E'!O48</f>
        <v>0</v>
      </c>
      <c r="Z48" s="313">
        <f>SUMIFS(Adjustments!$G:$G,Adjustments!$H:$H,"2E",Adjustments!$I:$I,'Schedule 2E Adjustments'!$Y$12,Adjustments!$J:$J,'Schedule 2E Adjustments'!$A48)</f>
        <v>0</v>
      </c>
      <c r="AA48" s="309">
        <f t="shared" si="7"/>
        <v>0</v>
      </c>
    </row>
    <row r="49" spans="1:27" x14ac:dyDescent="0.35">
      <c r="A49" s="24">
        <v>35</v>
      </c>
      <c r="B49" s="507" t="str">
        <f>IF('As-Filed Schedule 2E'!B49:D49=0,"",'As-Filed Schedule 2E'!B49:D49)</f>
        <v/>
      </c>
      <c r="C49" s="507"/>
      <c r="D49" s="507"/>
      <c r="F49" s="117">
        <f>'As-Filed Schedule 2E'!F49</f>
        <v>0</v>
      </c>
      <c r="G49" s="313">
        <f>SUMIFS(Adjustments!$G:$G,Adjustments!$H:$H,"2E",Adjustments!$I:$I,'Schedule 2E Adjustments'!$F$12,Adjustments!$J:$J,'Schedule 2E Adjustments'!$A49)</f>
        <v>0</v>
      </c>
      <c r="H49" s="309">
        <f t="shared" si="0"/>
        <v>0</v>
      </c>
      <c r="I49" s="68">
        <f>IFERROR(F49*'As-Filed Schedule 1'!$E$103,0)</f>
        <v>0</v>
      </c>
      <c r="J49" s="310">
        <f>IFERROR(H49*'Adjusted Schedule 1'!$E$104,0)</f>
        <v>0</v>
      </c>
      <c r="K49" s="68">
        <f t="shared" si="1"/>
        <v>0</v>
      </c>
      <c r="L49" s="310">
        <f t="shared" si="2"/>
        <v>0</v>
      </c>
      <c r="N49" s="117">
        <f>'As-Filed Schedule 2E'!J49</f>
        <v>0</v>
      </c>
      <c r="O49" s="313">
        <f>SUMIFS(Adjustments!$G:$G,Adjustments!$H:$H,"2E",Adjustments!$I:$I,'Schedule 2E Adjustments'!$N$12,Adjustments!$J:$J,'Schedule 2E Adjustments'!$A49)</f>
        <v>0</v>
      </c>
      <c r="P49" s="309">
        <f t="shared" si="3"/>
        <v>0</v>
      </c>
      <c r="Q49" s="68">
        <f>IFERROR(N49*'As-Filed Schedule 1'!$E$103,0)</f>
        <v>0</v>
      </c>
      <c r="R49" s="68">
        <f>IFERROR(P49*'Adjusted Schedule 1'!$E$104,0)</f>
        <v>0</v>
      </c>
      <c r="S49" s="68">
        <f t="shared" si="4"/>
        <v>0</v>
      </c>
      <c r="T49" s="310">
        <f t="shared" si="5"/>
        <v>0</v>
      </c>
      <c r="V49" s="120">
        <f>'As-Filed Schedule 2E'!N49</f>
        <v>0</v>
      </c>
      <c r="W49" s="313">
        <f>SUMIFS(Adjustments!$G:$G,Adjustments!$H:$H,"2E",Adjustments!$I:$I,'Schedule 2E Adjustments'!$V$12,Adjustments!$J:$J,'Schedule 2E Adjustments'!$A49)</f>
        <v>0</v>
      </c>
      <c r="X49" s="309">
        <f t="shared" si="6"/>
        <v>0</v>
      </c>
      <c r="Y49" s="120">
        <f>'As-Filed Schedule 2E'!O49</f>
        <v>0</v>
      </c>
      <c r="Z49" s="313">
        <f>SUMIFS(Adjustments!$G:$G,Adjustments!$H:$H,"2E",Adjustments!$I:$I,'Schedule 2E Adjustments'!$Y$12,Adjustments!$J:$J,'Schedule 2E Adjustments'!$A49)</f>
        <v>0</v>
      </c>
      <c r="AA49" s="309">
        <f t="shared" si="7"/>
        <v>0</v>
      </c>
    </row>
    <row r="50" spans="1:27" x14ac:dyDescent="0.35">
      <c r="A50" s="24">
        <v>36</v>
      </c>
      <c r="B50" s="507" t="str">
        <f>IF('As-Filed Schedule 2E'!B50:D50=0,"",'As-Filed Schedule 2E'!B50:D50)</f>
        <v/>
      </c>
      <c r="C50" s="507"/>
      <c r="D50" s="507"/>
      <c r="F50" s="117">
        <f>'As-Filed Schedule 2E'!F50</f>
        <v>0</v>
      </c>
      <c r="G50" s="313">
        <f>SUMIFS(Adjustments!$G:$G,Adjustments!$H:$H,"2E",Adjustments!$I:$I,'Schedule 2E Adjustments'!$F$12,Adjustments!$J:$J,'Schedule 2E Adjustments'!$A50)</f>
        <v>0</v>
      </c>
      <c r="H50" s="309">
        <f t="shared" si="0"/>
        <v>0</v>
      </c>
      <c r="I50" s="68">
        <f>IFERROR(F50*'As-Filed Schedule 1'!$E$103,0)</f>
        <v>0</v>
      </c>
      <c r="J50" s="310">
        <f>IFERROR(H50*'Adjusted Schedule 1'!$E$104,0)</f>
        <v>0</v>
      </c>
      <c r="K50" s="68">
        <f t="shared" si="1"/>
        <v>0</v>
      </c>
      <c r="L50" s="310">
        <f t="shared" si="2"/>
        <v>0</v>
      </c>
      <c r="N50" s="117">
        <f>'As-Filed Schedule 2E'!J50</f>
        <v>0</v>
      </c>
      <c r="O50" s="313">
        <f>SUMIFS(Adjustments!$G:$G,Adjustments!$H:$H,"2E",Adjustments!$I:$I,'Schedule 2E Adjustments'!$N$12,Adjustments!$J:$J,'Schedule 2E Adjustments'!$A50)</f>
        <v>0</v>
      </c>
      <c r="P50" s="309">
        <f t="shared" si="3"/>
        <v>0</v>
      </c>
      <c r="Q50" s="68">
        <f>IFERROR(N50*'As-Filed Schedule 1'!$E$103,0)</f>
        <v>0</v>
      </c>
      <c r="R50" s="68">
        <f>IFERROR(P50*'Adjusted Schedule 1'!$E$104,0)</f>
        <v>0</v>
      </c>
      <c r="S50" s="68">
        <f t="shared" si="4"/>
        <v>0</v>
      </c>
      <c r="T50" s="310">
        <f t="shared" si="5"/>
        <v>0</v>
      </c>
      <c r="V50" s="120">
        <f>'As-Filed Schedule 2E'!N50</f>
        <v>0</v>
      </c>
      <c r="W50" s="313">
        <f>SUMIFS(Adjustments!$G:$G,Adjustments!$H:$H,"2E",Adjustments!$I:$I,'Schedule 2E Adjustments'!$V$12,Adjustments!$J:$J,'Schedule 2E Adjustments'!$A50)</f>
        <v>0</v>
      </c>
      <c r="X50" s="309">
        <f t="shared" si="6"/>
        <v>0</v>
      </c>
      <c r="Y50" s="120">
        <f>'As-Filed Schedule 2E'!O50</f>
        <v>0</v>
      </c>
      <c r="Z50" s="313">
        <f>SUMIFS(Adjustments!$G:$G,Adjustments!$H:$H,"2E",Adjustments!$I:$I,'Schedule 2E Adjustments'!$Y$12,Adjustments!$J:$J,'Schedule 2E Adjustments'!$A50)</f>
        <v>0</v>
      </c>
      <c r="AA50" s="309">
        <f t="shared" si="7"/>
        <v>0</v>
      </c>
    </row>
    <row r="51" spans="1:27" x14ac:dyDescent="0.35">
      <c r="A51" s="24">
        <v>37</v>
      </c>
      <c r="B51" s="507" t="str">
        <f>IF('As-Filed Schedule 2E'!B51:D51=0,"",'As-Filed Schedule 2E'!B51:D51)</f>
        <v/>
      </c>
      <c r="C51" s="507"/>
      <c r="D51" s="507"/>
      <c r="F51" s="117">
        <f>'As-Filed Schedule 2E'!F51</f>
        <v>0</v>
      </c>
      <c r="G51" s="313">
        <f>SUMIFS(Adjustments!$G:$G,Adjustments!$H:$H,"2E",Adjustments!$I:$I,'Schedule 2E Adjustments'!$F$12,Adjustments!$J:$J,'Schedule 2E Adjustments'!$A51)</f>
        <v>0</v>
      </c>
      <c r="H51" s="309">
        <f t="shared" si="0"/>
        <v>0</v>
      </c>
      <c r="I51" s="68">
        <f>IFERROR(F51*'As-Filed Schedule 1'!$E$103,0)</f>
        <v>0</v>
      </c>
      <c r="J51" s="310">
        <f>IFERROR(H51*'Adjusted Schedule 1'!$E$104,0)</f>
        <v>0</v>
      </c>
      <c r="K51" s="68">
        <f t="shared" si="1"/>
        <v>0</v>
      </c>
      <c r="L51" s="310">
        <f t="shared" si="2"/>
        <v>0</v>
      </c>
      <c r="N51" s="117">
        <f>'As-Filed Schedule 2E'!J51</f>
        <v>0</v>
      </c>
      <c r="O51" s="313">
        <f>SUMIFS(Adjustments!$G:$G,Adjustments!$H:$H,"2E",Adjustments!$I:$I,'Schedule 2E Adjustments'!$N$12,Adjustments!$J:$J,'Schedule 2E Adjustments'!$A51)</f>
        <v>0</v>
      </c>
      <c r="P51" s="309">
        <f t="shared" si="3"/>
        <v>0</v>
      </c>
      <c r="Q51" s="68">
        <f>IFERROR(N51*'As-Filed Schedule 1'!$E$103,0)</f>
        <v>0</v>
      </c>
      <c r="R51" s="68">
        <f>IFERROR(P51*'Adjusted Schedule 1'!$E$104,0)</f>
        <v>0</v>
      </c>
      <c r="S51" s="68">
        <f t="shared" si="4"/>
        <v>0</v>
      </c>
      <c r="T51" s="310">
        <f t="shared" si="5"/>
        <v>0</v>
      </c>
      <c r="V51" s="120">
        <f>'As-Filed Schedule 2E'!N51</f>
        <v>0</v>
      </c>
      <c r="W51" s="313">
        <f>SUMIFS(Adjustments!$G:$G,Adjustments!$H:$H,"2E",Adjustments!$I:$I,'Schedule 2E Adjustments'!$V$12,Adjustments!$J:$J,'Schedule 2E Adjustments'!$A51)</f>
        <v>0</v>
      </c>
      <c r="X51" s="309">
        <f t="shared" si="6"/>
        <v>0</v>
      </c>
      <c r="Y51" s="120">
        <f>'As-Filed Schedule 2E'!O51</f>
        <v>0</v>
      </c>
      <c r="Z51" s="313">
        <f>SUMIFS(Adjustments!$G:$G,Adjustments!$H:$H,"2E",Adjustments!$I:$I,'Schedule 2E Adjustments'!$Y$12,Adjustments!$J:$J,'Schedule 2E Adjustments'!$A51)</f>
        <v>0</v>
      </c>
      <c r="AA51" s="309">
        <f t="shared" si="7"/>
        <v>0</v>
      </c>
    </row>
    <row r="52" spans="1:27" x14ac:dyDescent="0.35">
      <c r="A52" s="24">
        <v>38</v>
      </c>
      <c r="B52" s="507" t="str">
        <f>IF('As-Filed Schedule 2E'!B52:D52=0,"",'As-Filed Schedule 2E'!B52:D52)</f>
        <v/>
      </c>
      <c r="C52" s="507"/>
      <c r="D52" s="507"/>
      <c r="F52" s="117">
        <f>'As-Filed Schedule 2E'!F52</f>
        <v>0</v>
      </c>
      <c r="G52" s="313">
        <f>SUMIFS(Adjustments!$G:$G,Adjustments!$H:$H,"2E",Adjustments!$I:$I,'Schedule 2E Adjustments'!$F$12,Adjustments!$J:$J,'Schedule 2E Adjustments'!$A52)</f>
        <v>0</v>
      </c>
      <c r="H52" s="309">
        <f t="shared" si="0"/>
        <v>0</v>
      </c>
      <c r="I52" s="68">
        <f>IFERROR(F52*'As-Filed Schedule 1'!$E$103,0)</f>
        <v>0</v>
      </c>
      <c r="J52" s="310">
        <f>IFERROR(H52*'Adjusted Schedule 1'!$E$104,0)</f>
        <v>0</v>
      </c>
      <c r="K52" s="68">
        <f t="shared" si="1"/>
        <v>0</v>
      </c>
      <c r="L52" s="310">
        <f t="shared" si="2"/>
        <v>0</v>
      </c>
      <c r="N52" s="117">
        <f>'As-Filed Schedule 2E'!J52</f>
        <v>0</v>
      </c>
      <c r="O52" s="313">
        <f>SUMIFS(Adjustments!$G:$G,Adjustments!$H:$H,"2E",Adjustments!$I:$I,'Schedule 2E Adjustments'!$N$12,Adjustments!$J:$J,'Schedule 2E Adjustments'!$A52)</f>
        <v>0</v>
      </c>
      <c r="P52" s="309">
        <f t="shared" si="3"/>
        <v>0</v>
      </c>
      <c r="Q52" s="68">
        <f>IFERROR(N52*'As-Filed Schedule 1'!$E$103,0)</f>
        <v>0</v>
      </c>
      <c r="R52" s="68">
        <f>IFERROR(P52*'Adjusted Schedule 1'!$E$104,0)</f>
        <v>0</v>
      </c>
      <c r="S52" s="68">
        <f t="shared" si="4"/>
        <v>0</v>
      </c>
      <c r="T52" s="310">
        <f t="shared" si="5"/>
        <v>0</v>
      </c>
      <c r="V52" s="120">
        <f>'As-Filed Schedule 2E'!N52</f>
        <v>0</v>
      </c>
      <c r="W52" s="313">
        <f>SUMIFS(Adjustments!$G:$G,Adjustments!$H:$H,"2E",Adjustments!$I:$I,'Schedule 2E Adjustments'!$V$12,Adjustments!$J:$J,'Schedule 2E Adjustments'!$A52)</f>
        <v>0</v>
      </c>
      <c r="X52" s="309">
        <f t="shared" si="6"/>
        <v>0</v>
      </c>
      <c r="Y52" s="120">
        <f>'As-Filed Schedule 2E'!O52</f>
        <v>0</v>
      </c>
      <c r="Z52" s="313">
        <f>SUMIFS(Adjustments!$G:$G,Adjustments!$H:$H,"2E",Adjustments!$I:$I,'Schedule 2E Adjustments'!$Y$12,Adjustments!$J:$J,'Schedule 2E Adjustments'!$A52)</f>
        <v>0</v>
      </c>
      <c r="AA52" s="309">
        <f t="shared" si="7"/>
        <v>0</v>
      </c>
    </row>
    <row r="53" spans="1:27" x14ac:dyDescent="0.35">
      <c r="A53" s="24">
        <v>39</v>
      </c>
      <c r="B53" s="507" t="str">
        <f>IF('As-Filed Schedule 2E'!B53:D53=0,"",'As-Filed Schedule 2E'!B53:D53)</f>
        <v/>
      </c>
      <c r="C53" s="507"/>
      <c r="D53" s="507"/>
      <c r="F53" s="117">
        <f>'As-Filed Schedule 2E'!F53</f>
        <v>0</v>
      </c>
      <c r="G53" s="313">
        <f>SUMIFS(Adjustments!$G:$G,Adjustments!$H:$H,"2E",Adjustments!$I:$I,'Schedule 2E Adjustments'!$F$12,Adjustments!$J:$J,'Schedule 2E Adjustments'!$A53)</f>
        <v>0</v>
      </c>
      <c r="H53" s="309">
        <f t="shared" si="0"/>
        <v>0</v>
      </c>
      <c r="I53" s="68">
        <f>IFERROR(F53*'As-Filed Schedule 1'!$E$103,0)</f>
        <v>0</v>
      </c>
      <c r="J53" s="310">
        <f>IFERROR(H53*'Adjusted Schedule 1'!$E$104,0)</f>
        <v>0</v>
      </c>
      <c r="K53" s="68">
        <f t="shared" si="1"/>
        <v>0</v>
      </c>
      <c r="L53" s="310">
        <f t="shared" si="2"/>
        <v>0</v>
      </c>
      <c r="N53" s="117">
        <f>'As-Filed Schedule 2E'!J53</f>
        <v>0</v>
      </c>
      <c r="O53" s="313">
        <f>SUMIFS(Adjustments!$G:$G,Adjustments!$H:$H,"2E",Adjustments!$I:$I,'Schedule 2E Adjustments'!$N$12,Adjustments!$J:$J,'Schedule 2E Adjustments'!$A53)</f>
        <v>0</v>
      </c>
      <c r="P53" s="309">
        <f t="shared" si="3"/>
        <v>0</v>
      </c>
      <c r="Q53" s="68">
        <f>IFERROR(N53*'As-Filed Schedule 1'!$E$103,0)</f>
        <v>0</v>
      </c>
      <c r="R53" s="68">
        <f>IFERROR(P53*'Adjusted Schedule 1'!$E$104,0)</f>
        <v>0</v>
      </c>
      <c r="S53" s="68">
        <f t="shared" si="4"/>
        <v>0</v>
      </c>
      <c r="T53" s="310">
        <f t="shared" si="5"/>
        <v>0</v>
      </c>
      <c r="V53" s="120">
        <f>'As-Filed Schedule 2E'!N53</f>
        <v>0</v>
      </c>
      <c r="W53" s="313">
        <f>SUMIFS(Adjustments!$G:$G,Adjustments!$H:$H,"2E",Adjustments!$I:$I,'Schedule 2E Adjustments'!$V$12,Adjustments!$J:$J,'Schedule 2E Adjustments'!$A53)</f>
        <v>0</v>
      </c>
      <c r="X53" s="309">
        <f t="shared" si="6"/>
        <v>0</v>
      </c>
      <c r="Y53" s="120">
        <f>'As-Filed Schedule 2E'!O53</f>
        <v>0</v>
      </c>
      <c r="Z53" s="313">
        <f>SUMIFS(Adjustments!$G:$G,Adjustments!$H:$H,"2E",Adjustments!$I:$I,'Schedule 2E Adjustments'!$Y$12,Adjustments!$J:$J,'Schedule 2E Adjustments'!$A53)</f>
        <v>0</v>
      </c>
      <c r="AA53" s="309">
        <f t="shared" si="7"/>
        <v>0</v>
      </c>
    </row>
    <row r="54" spans="1:27" x14ac:dyDescent="0.35">
      <c r="A54" s="24">
        <v>40</v>
      </c>
      <c r="B54" s="507" t="str">
        <f>IF('As-Filed Schedule 2E'!B54:D54=0,"",'As-Filed Schedule 2E'!B54:D54)</f>
        <v/>
      </c>
      <c r="C54" s="507"/>
      <c r="D54" s="507"/>
      <c r="F54" s="117">
        <f>'As-Filed Schedule 2E'!F54</f>
        <v>0</v>
      </c>
      <c r="G54" s="313">
        <f>SUMIFS(Adjustments!$G:$G,Adjustments!$H:$H,"2E",Adjustments!$I:$I,'Schedule 2E Adjustments'!$F$12,Adjustments!$J:$J,'Schedule 2E Adjustments'!$A54)</f>
        <v>0</v>
      </c>
      <c r="H54" s="309">
        <f t="shared" si="0"/>
        <v>0</v>
      </c>
      <c r="I54" s="68">
        <f>IFERROR(F54*'As-Filed Schedule 1'!$E$103,0)</f>
        <v>0</v>
      </c>
      <c r="J54" s="310">
        <f>IFERROR(H54*'Adjusted Schedule 1'!$E$104,0)</f>
        <v>0</v>
      </c>
      <c r="K54" s="68">
        <f t="shared" si="1"/>
        <v>0</v>
      </c>
      <c r="L54" s="310">
        <f t="shared" si="2"/>
        <v>0</v>
      </c>
      <c r="N54" s="117">
        <f>'As-Filed Schedule 2E'!J54</f>
        <v>0</v>
      </c>
      <c r="O54" s="313">
        <f>SUMIFS(Adjustments!$G:$G,Adjustments!$H:$H,"2E",Adjustments!$I:$I,'Schedule 2E Adjustments'!$N$12,Adjustments!$J:$J,'Schedule 2E Adjustments'!$A54)</f>
        <v>0</v>
      </c>
      <c r="P54" s="309">
        <f t="shared" si="3"/>
        <v>0</v>
      </c>
      <c r="Q54" s="68">
        <f>IFERROR(N54*'As-Filed Schedule 1'!$E$103,0)</f>
        <v>0</v>
      </c>
      <c r="R54" s="68">
        <f>IFERROR(P54*'Adjusted Schedule 1'!$E$104,0)</f>
        <v>0</v>
      </c>
      <c r="S54" s="68">
        <f t="shared" si="4"/>
        <v>0</v>
      </c>
      <c r="T54" s="310">
        <f t="shared" si="5"/>
        <v>0</v>
      </c>
      <c r="V54" s="120">
        <f>'As-Filed Schedule 2E'!N54</f>
        <v>0</v>
      </c>
      <c r="W54" s="313">
        <f>SUMIFS(Adjustments!$G:$G,Adjustments!$H:$H,"2E",Adjustments!$I:$I,'Schedule 2E Adjustments'!$V$12,Adjustments!$J:$J,'Schedule 2E Adjustments'!$A54)</f>
        <v>0</v>
      </c>
      <c r="X54" s="309">
        <f t="shared" si="6"/>
        <v>0</v>
      </c>
      <c r="Y54" s="120">
        <f>'As-Filed Schedule 2E'!O54</f>
        <v>0</v>
      </c>
      <c r="Z54" s="313">
        <f>SUMIFS(Adjustments!$G:$G,Adjustments!$H:$H,"2E",Adjustments!$I:$I,'Schedule 2E Adjustments'!$Y$12,Adjustments!$J:$J,'Schedule 2E Adjustments'!$A54)</f>
        <v>0</v>
      </c>
      <c r="AA54" s="309">
        <f t="shared" si="7"/>
        <v>0</v>
      </c>
    </row>
    <row r="55" spans="1:27" x14ac:dyDescent="0.35">
      <c r="A55" s="24">
        <v>41</v>
      </c>
      <c r="B55" s="507" t="str">
        <f>IF('As-Filed Schedule 2E'!B55:D55=0,"",'As-Filed Schedule 2E'!B55:D55)</f>
        <v/>
      </c>
      <c r="C55" s="507"/>
      <c r="D55" s="507"/>
      <c r="F55" s="117">
        <f>'As-Filed Schedule 2E'!F55</f>
        <v>0</v>
      </c>
      <c r="G55" s="313">
        <f>SUMIFS(Adjustments!$G:$G,Adjustments!$H:$H,"2E",Adjustments!$I:$I,'Schedule 2E Adjustments'!$F$12,Adjustments!$J:$J,'Schedule 2E Adjustments'!$A55)</f>
        <v>0</v>
      </c>
      <c r="H55" s="309">
        <f t="shared" si="0"/>
        <v>0</v>
      </c>
      <c r="I55" s="68">
        <f>IFERROR(F55*'As-Filed Schedule 1'!$E$103,0)</f>
        <v>0</v>
      </c>
      <c r="J55" s="310">
        <f>IFERROR(H55*'Adjusted Schedule 1'!$E$104,0)</f>
        <v>0</v>
      </c>
      <c r="K55" s="68">
        <f t="shared" si="1"/>
        <v>0</v>
      </c>
      <c r="L55" s="310">
        <f t="shared" si="2"/>
        <v>0</v>
      </c>
      <c r="N55" s="117">
        <f>'As-Filed Schedule 2E'!J55</f>
        <v>0</v>
      </c>
      <c r="O55" s="313">
        <f>SUMIFS(Adjustments!$G:$G,Adjustments!$H:$H,"2E",Adjustments!$I:$I,'Schedule 2E Adjustments'!$N$12,Adjustments!$J:$J,'Schedule 2E Adjustments'!$A55)</f>
        <v>0</v>
      </c>
      <c r="P55" s="309">
        <f t="shared" si="3"/>
        <v>0</v>
      </c>
      <c r="Q55" s="68">
        <f>IFERROR(N55*'As-Filed Schedule 1'!$E$103,0)</f>
        <v>0</v>
      </c>
      <c r="R55" s="68">
        <f>IFERROR(P55*'Adjusted Schedule 1'!$E$104,0)</f>
        <v>0</v>
      </c>
      <c r="S55" s="68">
        <f t="shared" si="4"/>
        <v>0</v>
      </c>
      <c r="T55" s="310">
        <f t="shared" si="5"/>
        <v>0</v>
      </c>
      <c r="V55" s="120">
        <f>'As-Filed Schedule 2E'!N55</f>
        <v>0</v>
      </c>
      <c r="W55" s="313">
        <f>SUMIFS(Adjustments!$G:$G,Adjustments!$H:$H,"2E",Adjustments!$I:$I,'Schedule 2E Adjustments'!$V$12,Adjustments!$J:$J,'Schedule 2E Adjustments'!$A55)</f>
        <v>0</v>
      </c>
      <c r="X55" s="309">
        <f t="shared" si="6"/>
        <v>0</v>
      </c>
      <c r="Y55" s="120">
        <f>'As-Filed Schedule 2E'!O55</f>
        <v>0</v>
      </c>
      <c r="Z55" s="313">
        <f>SUMIFS(Adjustments!$G:$G,Adjustments!$H:$H,"2E",Adjustments!$I:$I,'Schedule 2E Adjustments'!$Y$12,Adjustments!$J:$J,'Schedule 2E Adjustments'!$A55)</f>
        <v>0</v>
      </c>
      <c r="AA55" s="309">
        <f t="shared" si="7"/>
        <v>0</v>
      </c>
    </row>
    <row r="56" spans="1:27" x14ac:dyDescent="0.35">
      <c r="A56" s="24">
        <v>42</v>
      </c>
      <c r="B56" s="507" t="str">
        <f>IF('As-Filed Schedule 2E'!B56:D56=0,"",'As-Filed Schedule 2E'!B56:D56)</f>
        <v/>
      </c>
      <c r="C56" s="507"/>
      <c r="D56" s="507"/>
      <c r="F56" s="117">
        <f>'As-Filed Schedule 2E'!F56</f>
        <v>0</v>
      </c>
      <c r="G56" s="313">
        <f>SUMIFS(Adjustments!$G:$G,Adjustments!$H:$H,"2E",Adjustments!$I:$I,'Schedule 2E Adjustments'!$F$12,Adjustments!$J:$J,'Schedule 2E Adjustments'!$A56)</f>
        <v>0</v>
      </c>
      <c r="H56" s="309">
        <f t="shared" si="0"/>
        <v>0</v>
      </c>
      <c r="I56" s="68">
        <f>IFERROR(F56*'As-Filed Schedule 1'!$E$103,0)</f>
        <v>0</v>
      </c>
      <c r="J56" s="310">
        <f>IFERROR(H56*'Adjusted Schedule 1'!$E$104,0)</f>
        <v>0</v>
      </c>
      <c r="K56" s="68">
        <f t="shared" si="1"/>
        <v>0</v>
      </c>
      <c r="L56" s="310">
        <f t="shared" si="2"/>
        <v>0</v>
      </c>
      <c r="N56" s="117">
        <f>'As-Filed Schedule 2E'!J56</f>
        <v>0</v>
      </c>
      <c r="O56" s="313">
        <f>SUMIFS(Adjustments!$G:$G,Adjustments!$H:$H,"2E",Adjustments!$I:$I,'Schedule 2E Adjustments'!$N$12,Adjustments!$J:$J,'Schedule 2E Adjustments'!$A56)</f>
        <v>0</v>
      </c>
      <c r="P56" s="309">
        <f t="shared" si="3"/>
        <v>0</v>
      </c>
      <c r="Q56" s="68">
        <f>IFERROR(N56*'As-Filed Schedule 1'!$E$103,0)</f>
        <v>0</v>
      </c>
      <c r="R56" s="68">
        <f>IFERROR(P56*'Adjusted Schedule 1'!$E$104,0)</f>
        <v>0</v>
      </c>
      <c r="S56" s="68">
        <f t="shared" si="4"/>
        <v>0</v>
      </c>
      <c r="T56" s="310">
        <f t="shared" si="5"/>
        <v>0</v>
      </c>
      <c r="V56" s="120">
        <f>'As-Filed Schedule 2E'!N56</f>
        <v>0</v>
      </c>
      <c r="W56" s="313">
        <f>SUMIFS(Adjustments!$G:$G,Adjustments!$H:$H,"2E",Adjustments!$I:$I,'Schedule 2E Adjustments'!$V$12,Adjustments!$J:$J,'Schedule 2E Adjustments'!$A56)</f>
        <v>0</v>
      </c>
      <c r="X56" s="309">
        <f t="shared" si="6"/>
        <v>0</v>
      </c>
      <c r="Y56" s="120">
        <f>'As-Filed Schedule 2E'!O56</f>
        <v>0</v>
      </c>
      <c r="Z56" s="313">
        <f>SUMIFS(Adjustments!$G:$G,Adjustments!$H:$H,"2E",Adjustments!$I:$I,'Schedule 2E Adjustments'!$Y$12,Adjustments!$J:$J,'Schedule 2E Adjustments'!$A56)</f>
        <v>0</v>
      </c>
      <c r="AA56" s="309">
        <f t="shared" si="7"/>
        <v>0</v>
      </c>
    </row>
    <row r="57" spans="1:27" x14ac:dyDescent="0.35">
      <c r="A57" s="24">
        <v>43</v>
      </c>
      <c r="B57" s="507" t="str">
        <f>IF('As-Filed Schedule 2E'!B57:D57=0,"",'As-Filed Schedule 2E'!B57:D57)</f>
        <v/>
      </c>
      <c r="C57" s="507"/>
      <c r="D57" s="507"/>
      <c r="F57" s="117">
        <f>'As-Filed Schedule 2E'!F57</f>
        <v>0</v>
      </c>
      <c r="G57" s="313">
        <f>SUMIFS(Adjustments!$G:$G,Adjustments!$H:$H,"2E",Adjustments!$I:$I,'Schedule 2E Adjustments'!$F$12,Adjustments!$J:$J,'Schedule 2E Adjustments'!$A57)</f>
        <v>0</v>
      </c>
      <c r="H57" s="309">
        <f t="shared" si="0"/>
        <v>0</v>
      </c>
      <c r="I57" s="68">
        <f>IFERROR(F57*'As-Filed Schedule 1'!$E$103,0)</f>
        <v>0</v>
      </c>
      <c r="J57" s="310">
        <f>IFERROR(H57*'Adjusted Schedule 1'!$E$104,0)</f>
        <v>0</v>
      </c>
      <c r="K57" s="68">
        <f t="shared" si="1"/>
        <v>0</v>
      </c>
      <c r="L57" s="310">
        <f t="shared" si="2"/>
        <v>0</v>
      </c>
      <c r="N57" s="117">
        <f>'As-Filed Schedule 2E'!J57</f>
        <v>0</v>
      </c>
      <c r="O57" s="313">
        <f>SUMIFS(Adjustments!$G:$G,Adjustments!$H:$H,"2E",Adjustments!$I:$I,'Schedule 2E Adjustments'!$N$12,Adjustments!$J:$J,'Schedule 2E Adjustments'!$A57)</f>
        <v>0</v>
      </c>
      <c r="P57" s="309">
        <f t="shared" si="3"/>
        <v>0</v>
      </c>
      <c r="Q57" s="68">
        <f>IFERROR(N57*'As-Filed Schedule 1'!$E$103,0)</f>
        <v>0</v>
      </c>
      <c r="R57" s="68">
        <f>IFERROR(P57*'Adjusted Schedule 1'!$E$104,0)</f>
        <v>0</v>
      </c>
      <c r="S57" s="68">
        <f t="shared" si="4"/>
        <v>0</v>
      </c>
      <c r="T57" s="310">
        <f t="shared" si="5"/>
        <v>0</v>
      </c>
      <c r="V57" s="120">
        <f>'As-Filed Schedule 2E'!N57</f>
        <v>0</v>
      </c>
      <c r="W57" s="313">
        <f>SUMIFS(Adjustments!$G:$G,Adjustments!$H:$H,"2E",Adjustments!$I:$I,'Schedule 2E Adjustments'!$V$12,Adjustments!$J:$J,'Schedule 2E Adjustments'!$A57)</f>
        <v>0</v>
      </c>
      <c r="X57" s="309">
        <f t="shared" si="6"/>
        <v>0</v>
      </c>
      <c r="Y57" s="120">
        <f>'As-Filed Schedule 2E'!O57</f>
        <v>0</v>
      </c>
      <c r="Z57" s="313">
        <f>SUMIFS(Adjustments!$G:$G,Adjustments!$H:$H,"2E",Adjustments!$I:$I,'Schedule 2E Adjustments'!$Y$12,Adjustments!$J:$J,'Schedule 2E Adjustments'!$A57)</f>
        <v>0</v>
      </c>
      <c r="AA57" s="309">
        <f t="shared" si="7"/>
        <v>0</v>
      </c>
    </row>
    <row r="58" spans="1:27" x14ac:dyDescent="0.35">
      <c r="A58" s="24">
        <v>44</v>
      </c>
      <c r="B58" s="507" t="str">
        <f>IF('As-Filed Schedule 2E'!B58:D58=0,"",'As-Filed Schedule 2E'!B58:D58)</f>
        <v/>
      </c>
      <c r="C58" s="507"/>
      <c r="D58" s="507"/>
      <c r="F58" s="117">
        <f>'As-Filed Schedule 2E'!F58</f>
        <v>0</v>
      </c>
      <c r="G58" s="313">
        <f>SUMIFS(Adjustments!$G:$G,Adjustments!$H:$H,"2E",Adjustments!$I:$I,'Schedule 2E Adjustments'!$F$12,Adjustments!$J:$J,'Schedule 2E Adjustments'!$A58)</f>
        <v>0</v>
      </c>
      <c r="H58" s="309">
        <f t="shared" si="0"/>
        <v>0</v>
      </c>
      <c r="I58" s="68">
        <f>IFERROR(F58*'As-Filed Schedule 1'!$E$103,0)</f>
        <v>0</v>
      </c>
      <c r="J58" s="310">
        <f>IFERROR(H58*'Adjusted Schedule 1'!$E$104,0)</f>
        <v>0</v>
      </c>
      <c r="K58" s="68">
        <f t="shared" si="1"/>
        <v>0</v>
      </c>
      <c r="L58" s="310">
        <f t="shared" si="2"/>
        <v>0</v>
      </c>
      <c r="N58" s="117">
        <f>'As-Filed Schedule 2E'!J58</f>
        <v>0</v>
      </c>
      <c r="O58" s="313">
        <f>SUMIFS(Adjustments!$G:$G,Adjustments!$H:$H,"2E",Adjustments!$I:$I,'Schedule 2E Adjustments'!$N$12,Adjustments!$J:$J,'Schedule 2E Adjustments'!$A58)</f>
        <v>0</v>
      </c>
      <c r="P58" s="309">
        <f t="shared" si="3"/>
        <v>0</v>
      </c>
      <c r="Q58" s="68">
        <f>IFERROR(N58*'As-Filed Schedule 1'!$E$103,0)</f>
        <v>0</v>
      </c>
      <c r="R58" s="68">
        <f>IFERROR(P58*'Adjusted Schedule 1'!$E$104,0)</f>
        <v>0</v>
      </c>
      <c r="S58" s="68">
        <f t="shared" si="4"/>
        <v>0</v>
      </c>
      <c r="T58" s="310">
        <f t="shared" si="5"/>
        <v>0</v>
      </c>
      <c r="V58" s="120">
        <f>'As-Filed Schedule 2E'!N58</f>
        <v>0</v>
      </c>
      <c r="W58" s="313">
        <f>SUMIFS(Adjustments!$G:$G,Adjustments!$H:$H,"2E",Adjustments!$I:$I,'Schedule 2E Adjustments'!$V$12,Adjustments!$J:$J,'Schedule 2E Adjustments'!$A58)</f>
        <v>0</v>
      </c>
      <c r="X58" s="309">
        <f t="shared" si="6"/>
        <v>0</v>
      </c>
      <c r="Y58" s="120">
        <f>'As-Filed Schedule 2E'!O58</f>
        <v>0</v>
      </c>
      <c r="Z58" s="313">
        <f>SUMIFS(Adjustments!$G:$G,Adjustments!$H:$H,"2E",Adjustments!$I:$I,'Schedule 2E Adjustments'!$Y$12,Adjustments!$J:$J,'Schedule 2E Adjustments'!$A58)</f>
        <v>0</v>
      </c>
      <c r="AA58" s="309">
        <f t="shared" si="7"/>
        <v>0</v>
      </c>
    </row>
    <row r="59" spans="1:27" x14ac:dyDescent="0.35">
      <c r="A59" s="24">
        <v>45</v>
      </c>
      <c r="B59" s="507" t="str">
        <f>IF('As-Filed Schedule 2E'!B59:D59=0,"",'As-Filed Schedule 2E'!B59:D59)</f>
        <v/>
      </c>
      <c r="C59" s="507"/>
      <c r="D59" s="507"/>
      <c r="F59" s="117">
        <f>'As-Filed Schedule 2E'!F59</f>
        <v>0</v>
      </c>
      <c r="G59" s="313">
        <f>SUMIFS(Adjustments!$G:$G,Adjustments!$H:$H,"2E",Adjustments!$I:$I,'Schedule 2E Adjustments'!$F$12,Adjustments!$J:$J,'Schedule 2E Adjustments'!$A59)</f>
        <v>0</v>
      </c>
      <c r="H59" s="309">
        <f t="shared" si="0"/>
        <v>0</v>
      </c>
      <c r="I59" s="68">
        <f>IFERROR(F59*'As-Filed Schedule 1'!$E$103,0)</f>
        <v>0</v>
      </c>
      <c r="J59" s="310">
        <f>IFERROR(H59*'Adjusted Schedule 1'!$E$104,0)</f>
        <v>0</v>
      </c>
      <c r="K59" s="68">
        <f t="shared" si="1"/>
        <v>0</v>
      </c>
      <c r="L59" s="310">
        <f t="shared" si="2"/>
        <v>0</v>
      </c>
      <c r="N59" s="117">
        <f>'As-Filed Schedule 2E'!J59</f>
        <v>0</v>
      </c>
      <c r="O59" s="313">
        <f>SUMIFS(Adjustments!$G:$G,Adjustments!$H:$H,"2E",Adjustments!$I:$I,'Schedule 2E Adjustments'!$N$12,Adjustments!$J:$J,'Schedule 2E Adjustments'!$A59)</f>
        <v>0</v>
      </c>
      <c r="P59" s="309">
        <f t="shared" si="3"/>
        <v>0</v>
      </c>
      <c r="Q59" s="68">
        <f>IFERROR(N59*'As-Filed Schedule 1'!$E$103,0)</f>
        <v>0</v>
      </c>
      <c r="R59" s="68">
        <f>IFERROR(P59*'Adjusted Schedule 1'!$E$104,0)</f>
        <v>0</v>
      </c>
      <c r="S59" s="68">
        <f t="shared" si="4"/>
        <v>0</v>
      </c>
      <c r="T59" s="310">
        <f t="shared" si="5"/>
        <v>0</v>
      </c>
      <c r="V59" s="120">
        <f>'As-Filed Schedule 2E'!N59</f>
        <v>0</v>
      </c>
      <c r="W59" s="313">
        <f>SUMIFS(Adjustments!$G:$G,Adjustments!$H:$H,"2E",Adjustments!$I:$I,'Schedule 2E Adjustments'!$V$12,Adjustments!$J:$J,'Schedule 2E Adjustments'!$A59)</f>
        <v>0</v>
      </c>
      <c r="X59" s="309">
        <f t="shared" si="6"/>
        <v>0</v>
      </c>
      <c r="Y59" s="120">
        <f>'As-Filed Schedule 2E'!O59</f>
        <v>0</v>
      </c>
      <c r="Z59" s="313">
        <f>SUMIFS(Adjustments!$G:$G,Adjustments!$H:$H,"2E",Adjustments!$I:$I,'Schedule 2E Adjustments'!$Y$12,Adjustments!$J:$J,'Schedule 2E Adjustments'!$A59)</f>
        <v>0</v>
      </c>
      <c r="AA59" s="309">
        <f t="shared" si="7"/>
        <v>0</v>
      </c>
    </row>
    <row r="60" spans="1:27" x14ac:dyDescent="0.35">
      <c r="A60" s="24">
        <v>46</v>
      </c>
      <c r="B60" s="507" t="str">
        <f>IF('As-Filed Schedule 2E'!B60:D60=0,"",'As-Filed Schedule 2E'!B60:D60)</f>
        <v/>
      </c>
      <c r="C60" s="507"/>
      <c r="D60" s="507"/>
      <c r="F60" s="117">
        <f>'As-Filed Schedule 2E'!F60</f>
        <v>0</v>
      </c>
      <c r="G60" s="313">
        <f>SUMIFS(Adjustments!$G:$G,Adjustments!$H:$H,"2E",Adjustments!$I:$I,'Schedule 2E Adjustments'!$F$12,Adjustments!$J:$J,'Schedule 2E Adjustments'!$A60)</f>
        <v>0</v>
      </c>
      <c r="H60" s="309">
        <f t="shared" si="0"/>
        <v>0</v>
      </c>
      <c r="I60" s="68">
        <f>IFERROR(F60*'As-Filed Schedule 1'!$E$103,0)</f>
        <v>0</v>
      </c>
      <c r="J60" s="310">
        <f>IFERROR(H60*'Adjusted Schedule 1'!$E$104,0)</f>
        <v>0</v>
      </c>
      <c r="K60" s="68">
        <f t="shared" si="1"/>
        <v>0</v>
      </c>
      <c r="L60" s="310">
        <f t="shared" si="2"/>
        <v>0</v>
      </c>
      <c r="N60" s="117">
        <f>'As-Filed Schedule 2E'!J60</f>
        <v>0</v>
      </c>
      <c r="O60" s="313">
        <f>SUMIFS(Adjustments!$G:$G,Adjustments!$H:$H,"2E",Adjustments!$I:$I,'Schedule 2E Adjustments'!$N$12,Adjustments!$J:$J,'Schedule 2E Adjustments'!$A60)</f>
        <v>0</v>
      </c>
      <c r="P60" s="309">
        <f t="shared" si="3"/>
        <v>0</v>
      </c>
      <c r="Q60" s="68">
        <f>IFERROR(N60*'As-Filed Schedule 1'!$E$103,0)</f>
        <v>0</v>
      </c>
      <c r="R60" s="68">
        <f>IFERROR(P60*'Adjusted Schedule 1'!$E$104,0)</f>
        <v>0</v>
      </c>
      <c r="S60" s="68">
        <f t="shared" si="4"/>
        <v>0</v>
      </c>
      <c r="T60" s="310">
        <f t="shared" si="5"/>
        <v>0</v>
      </c>
      <c r="V60" s="120">
        <f>'As-Filed Schedule 2E'!N60</f>
        <v>0</v>
      </c>
      <c r="W60" s="313">
        <f>SUMIFS(Adjustments!$G:$G,Adjustments!$H:$H,"2E",Adjustments!$I:$I,'Schedule 2E Adjustments'!$V$12,Adjustments!$J:$J,'Schedule 2E Adjustments'!$A60)</f>
        <v>0</v>
      </c>
      <c r="X60" s="309">
        <f t="shared" si="6"/>
        <v>0</v>
      </c>
      <c r="Y60" s="120">
        <f>'As-Filed Schedule 2E'!O60</f>
        <v>0</v>
      </c>
      <c r="Z60" s="313">
        <f>SUMIFS(Adjustments!$G:$G,Adjustments!$H:$H,"2E",Adjustments!$I:$I,'Schedule 2E Adjustments'!$Y$12,Adjustments!$J:$J,'Schedule 2E Adjustments'!$A60)</f>
        <v>0</v>
      </c>
      <c r="AA60" s="309">
        <f t="shared" si="7"/>
        <v>0</v>
      </c>
    </row>
    <row r="61" spans="1:27" x14ac:dyDescent="0.35">
      <c r="A61" s="24">
        <v>47</v>
      </c>
      <c r="B61" s="507" t="str">
        <f>IF('As-Filed Schedule 2E'!B61:D61=0,"",'As-Filed Schedule 2E'!B61:D61)</f>
        <v/>
      </c>
      <c r="C61" s="507"/>
      <c r="D61" s="507"/>
      <c r="F61" s="117">
        <f>'As-Filed Schedule 2E'!F61</f>
        <v>0</v>
      </c>
      <c r="G61" s="313">
        <f>SUMIFS(Adjustments!$G:$G,Adjustments!$H:$H,"2E",Adjustments!$I:$I,'Schedule 2E Adjustments'!$F$12,Adjustments!$J:$J,'Schedule 2E Adjustments'!$A61)</f>
        <v>0</v>
      </c>
      <c r="H61" s="309">
        <f t="shared" si="0"/>
        <v>0</v>
      </c>
      <c r="I61" s="68">
        <f>IFERROR(F61*'As-Filed Schedule 1'!$E$103,0)</f>
        <v>0</v>
      </c>
      <c r="J61" s="310">
        <f>IFERROR(H61*'Adjusted Schedule 1'!$E$104,0)</f>
        <v>0</v>
      </c>
      <c r="K61" s="68">
        <f t="shared" si="1"/>
        <v>0</v>
      </c>
      <c r="L61" s="310">
        <f t="shared" si="2"/>
        <v>0</v>
      </c>
      <c r="N61" s="117">
        <f>'As-Filed Schedule 2E'!J61</f>
        <v>0</v>
      </c>
      <c r="O61" s="313">
        <f>SUMIFS(Adjustments!$G:$G,Adjustments!$H:$H,"2E",Adjustments!$I:$I,'Schedule 2E Adjustments'!$N$12,Adjustments!$J:$J,'Schedule 2E Adjustments'!$A61)</f>
        <v>0</v>
      </c>
      <c r="P61" s="309">
        <f t="shared" si="3"/>
        <v>0</v>
      </c>
      <c r="Q61" s="68">
        <f>IFERROR(N61*'As-Filed Schedule 1'!$E$103,0)</f>
        <v>0</v>
      </c>
      <c r="R61" s="68">
        <f>IFERROR(P61*'Adjusted Schedule 1'!$E$104,0)</f>
        <v>0</v>
      </c>
      <c r="S61" s="68">
        <f t="shared" si="4"/>
        <v>0</v>
      </c>
      <c r="T61" s="310">
        <f t="shared" si="5"/>
        <v>0</v>
      </c>
      <c r="V61" s="120">
        <f>'As-Filed Schedule 2E'!N61</f>
        <v>0</v>
      </c>
      <c r="W61" s="313">
        <f>SUMIFS(Adjustments!$G:$G,Adjustments!$H:$H,"2E",Adjustments!$I:$I,'Schedule 2E Adjustments'!$V$12,Adjustments!$J:$J,'Schedule 2E Adjustments'!$A61)</f>
        <v>0</v>
      </c>
      <c r="X61" s="309">
        <f t="shared" si="6"/>
        <v>0</v>
      </c>
      <c r="Y61" s="120">
        <f>'As-Filed Schedule 2E'!O61</f>
        <v>0</v>
      </c>
      <c r="Z61" s="313">
        <f>SUMIFS(Adjustments!$G:$G,Adjustments!$H:$H,"2E",Adjustments!$I:$I,'Schedule 2E Adjustments'!$Y$12,Adjustments!$J:$J,'Schedule 2E Adjustments'!$A61)</f>
        <v>0</v>
      </c>
      <c r="AA61" s="309">
        <f t="shared" si="7"/>
        <v>0</v>
      </c>
    </row>
    <row r="62" spans="1:27" x14ac:dyDescent="0.35">
      <c r="A62" s="24">
        <v>48</v>
      </c>
      <c r="B62" s="507" t="str">
        <f>IF('As-Filed Schedule 2E'!B62:D62=0,"",'As-Filed Schedule 2E'!B62:D62)</f>
        <v/>
      </c>
      <c r="C62" s="507"/>
      <c r="D62" s="507"/>
      <c r="F62" s="117">
        <f>'As-Filed Schedule 2E'!F62</f>
        <v>0</v>
      </c>
      <c r="G62" s="313">
        <f>SUMIFS(Adjustments!$G:$G,Adjustments!$H:$H,"2E",Adjustments!$I:$I,'Schedule 2E Adjustments'!$F$12,Adjustments!$J:$J,'Schedule 2E Adjustments'!$A62)</f>
        <v>0</v>
      </c>
      <c r="H62" s="309">
        <f t="shared" si="0"/>
        <v>0</v>
      </c>
      <c r="I62" s="68">
        <f>IFERROR(F62*'As-Filed Schedule 1'!$E$103,0)</f>
        <v>0</v>
      </c>
      <c r="J62" s="310">
        <f>IFERROR(H62*'Adjusted Schedule 1'!$E$104,0)</f>
        <v>0</v>
      </c>
      <c r="K62" s="68">
        <f t="shared" si="1"/>
        <v>0</v>
      </c>
      <c r="L62" s="310">
        <f t="shared" si="2"/>
        <v>0</v>
      </c>
      <c r="N62" s="117">
        <f>'As-Filed Schedule 2E'!J62</f>
        <v>0</v>
      </c>
      <c r="O62" s="313">
        <f>SUMIFS(Adjustments!$G:$G,Adjustments!$H:$H,"2E",Adjustments!$I:$I,'Schedule 2E Adjustments'!$N$12,Adjustments!$J:$J,'Schedule 2E Adjustments'!$A62)</f>
        <v>0</v>
      </c>
      <c r="P62" s="309">
        <f t="shared" si="3"/>
        <v>0</v>
      </c>
      <c r="Q62" s="68">
        <f>IFERROR(N62*'As-Filed Schedule 1'!$E$103,0)</f>
        <v>0</v>
      </c>
      <c r="R62" s="68">
        <f>IFERROR(P62*'Adjusted Schedule 1'!$E$104,0)</f>
        <v>0</v>
      </c>
      <c r="S62" s="68">
        <f t="shared" si="4"/>
        <v>0</v>
      </c>
      <c r="T62" s="310">
        <f t="shared" si="5"/>
        <v>0</v>
      </c>
      <c r="V62" s="120">
        <f>'As-Filed Schedule 2E'!N62</f>
        <v>0</v>
      </c>
      <c r="W62" s="313">
        <f>SUMIFS(Adjustments!$G:$G,Adjustments!$H:$H,"2E",Adjustments!$I:$I,'Schedule 2E Adjustments'!$V$12,Adjustments!$J:$J,'Schedule 2E Adjustments'!$A62)</f>
        <v>0</v>
      </c>
      <c r="X62" s="309">
        <f t="shared" si="6"/>
        <v>0</v>
      </c>
      <c r="Y62" s="120">
        <f>'As-Filed Schedule 2E'!O62</f>
        <v>0</v>
      </c>
      <c r="Z62" s="313">
        <f>SUMIFS(Adjustments!$G:$G,Adjustments!$H:$H,"2E",Adjustments!$I:$I,'Schedule 2E Adjustments'!$Y$12,Adjustments!$J:$J,'Schedule 2E Adjustments'!$A62)</f>
        <v>0</v>
      </c>
      <c r="AA62" s="309">
        <f t="shared" si="7"/>
        <v>0</v>
      </c>
    </row>
    <row r="63" spans="1:27" x14ac:dyDescent="0.35">
      <c r="A63" s="24">
        <v>49</v>
      </c>
      <c r="B63" s="507" t="str">
        <f>IF('As-Filed Schedule 2E'!B63:D63=0,"",'As-Filed Schedule 2E'!B63:D63)</f>
        <v/>
      </c>
      <c r="C63" s="507"/>
      <c r="D63" s="507"/>
      <c r="F63" s="117">
        <f>'As-Filed Schedule 2E'!F63</f>
        <v>0</v>
      </c>
      <c r="G63" s="313">
        <f>SUMIFS(Adjustments!$G:$G,Adjustments!$H:$H,"2E",Adjustments!$I:$I,'Schedule 2E Adjustments'!$F$12,Adjustments!$J:$J,'Schedule 2E Adjustments'!$A63)</f>
        <v>0</v>
      </c>
      <c r="H63" s="309">
        <f t="shared" si="0"/>
        <v>0</v>
      </c>
      <c r="I63" s="68">
        <f>IFERROR(F63*'As-Filed Schedule 1'!$E$103,0)</f>
        <v>0</v>
      </c>
      <c r="J63" s="310">
        <f>IFERROR(H63*'Adjusted Schedule 1'!$E$104,0)</f>
        <v>0</v>
      </c>
      <c r="K63" s="68">
        <f t="shared" si="1"/>
        <v>0</v>
      </c>
      <c r="L63" s="310">
        <f t="shared" si="2"/>
        <v>0</v>
      </c>
      <c r="N63" s="117">
        <f>'As-Filed Schedule 2E'!J63</f>
        <v>0</v>
      </c>
      <c r="O63" s="313">
        <f>SUMIFS(Adjustments!$G:$G,Adjustments!$H:$H,"2E",Adjustments!$I:$I,'Schedule 2E Adjustments'!$N$12,Adjustments!$J:$J,'Schedule 2E Adjustments'!$A63)</f>
        <v>0</v>
      </c>
      <c r="P63" s="309">
        <f t="shared" si="3"/>
        <v>0</v>
      </c>
      <c r="Q63" s="68">
        <f>IFERROR(N63*'As-Filed Schedule 1'!$E$103,0)</f>
        <v>0</v>
      </c>
      <c r="R63" s="68">
        <f>IFERROR(P63*'Adjusted Schedule 1'!$E$104,0)</f>
        <v>0</v>
      </c>
      <c r="S63" s="68">
        <f t="shared" si="4"/>
        <v>0</v>
      </c>
      <c r="T63" s="310">
        <f t="shared" si="5"/>
        <v>0</v>
      </c>
      <c r="V63" s="120">
        <f>'As-Filed Schedule 2E'!N63</f>
        <v>0</v>
      </c>
      <c r="W63" s="313">
        <f>SUMIFS(Adjustments!$G:$G,Adjustments!$H:$H,"2E",Adjustments!$I:$I,'Schedule 2E Adjustments'!$V$12,Adjustments!$J:$J,'Schedule 2E Adjustments'!$A63)</f>
        <v>0</v>
      </c>
      <c r="X63" s="309">
        <f t="shared" si="6"/>
        <v>0</v>
      </c>
      <c r="Y63" s="120">
        <f>'As-Filed Schedule 2E'!O63</f>
        <v>0</v>
      </c>
      <c r="Z63" s="313">
        <f>SUMIFS(Adjustments!$G:$G,Adjustments!$H:$H,"2E",Adjustments!$I:$I,'Schedule 2E Adjustments'!$Y$12,Adjustments!$J:$J,'Schedule 2E Adjustments'!$A63)</f>
        <v>0</v>
      </c>
      <c r="AA63" s="309">
        <f t="shared" si="7"/>
        <v>0</v>
      </c>
    </row>
    <row r="64" spans="1:27" x14ac:dyDescent="0.35">
      <c r="A64" s="24">
        <v>50</v>
      </c>
      <c r="B64" s="507" t="str">
        <f>IF('As-Filed Schedule 2E'!B64:D64=0,"",'As-Filed Schedule 2E'!B64:D64)</f>
        <v/>
      </c>
      <c r="C64" s="507"/>
      <c r="D64" s="507"/>
      <c r="F64" s="117">
        <f>'As-Filed Schedule 2E'!F64</f>
        <v>0</v>
      </c>
      <c r="G64" s="313">
        <f>SUMIFS(Adjustments!$G:$G,Adjustments!$H:$H,"2E",Adjustments!$I:$I,'Schedule 2E Adjustments'!$F$12,Adjustments!$J:$J,'Schedule 2E Adjustments'!$A64)</f>
        <v>0</v>
      </c>
      <c r="H64" s="309">
        <f t="shared" si="0"/>
        <v>0</v>
      </c>
      <c r="I64" s="68">
        <f>IFERROR(F64*'As-Filed Schedule 1'!$E$103,0)</f>
        <v>0</v>
      </c>
      <c r="J64" s="310">
        <f>IFERROR(H64*'Adjusted Schedule 1'!$E$104,0)</f>
        <v>0</v>
      </c>
      <c r="K64" s="68">
        <f t="shared" si="1"/>
        <v>0</v>
      </c>
      <c r="L64" s="310">
        <f t="shared" si="2"/>
        <v>0</v>
      </c>
      <c r="N64" s="117">
        <f>'As-Filed Schedule 2E'!J64</f>
        <v>0</v>
      </c>
      <c r="O64" s="313">
        <f>SUMIFS(Adjustments!$G:$G,Adjustments!$H:$H,"2E",Adjustments!$I:$I,'Schedule 2E Adjustments'!$N$12,Adjustments!$J:$J,'Schedule 2E Adjustments'!$A64)</f>
        <v>0</v>
      </c>
      <c r="P64" s="309">
        <f t="shared" si="3"/>
        <v>0</v>
      </c>
      <c r="Q64" s="68">
        <f>IFERROR(N64*'As-Filed Schedule 1'!$E$103,0)</f>
        <v>0</v>
      </c>
      <c r="R64" s="68">
        <f>IFERROR(P64*'Adjusted Schedule 1'!$E$104,0)</f>
        <v>0</v>
      </c>
      <c r="S64" s="68">
        <f t="shared" si="4"/>
        <v>0</v>
      </c>
      <c r="T64" s="310">
        <f t="shared" si="5"/>
        <v>0</v>
      </c>
      <c r="V64" s="120">
        <f>'As-Filed Schedule 2E'!N64</f>
        <v>0</v>
      </c>
      <c r="W64" s="313">
        <f>SUMIFS(Adjustments!$G:$G,Adjustments!$H:$H,"2E",Adjustments!$I:$I,'Schedule 2E Adjustments'!$V$12,Adjustments!$J:$J,'Schedule 2E Adjustments'!$A64)</f>
        <v>0</v>
      </c>
      <c r="X64" s="309">
        <f t="shared" si="6"/>
        <v>0</v>
      </c>
      <c r="Y64" s="120">
        <f>'As-Filed Schedule 2E'!O64</f>
        <v>0</v>
      </c>
      <c r="Z64" s="313">
        <f>SUMIFS(Adjustments!$G:$G,Adjustments!$H:$H,"2E",Adjustments!$I:$I,'Schedule 2E Adjustments'!$Y$12,Adjustments!$J:$J,'Schedule 2E Adjustments'!$A64)</f>
        <v>0</v>
      </c>
      <c r="AA64" s="309">
        <f t="shared" si="7"/>
        <v>0</v>
      </c>
    </row>
    <row r="65" spans="1:27" x14ac:dyDescent="0.35">
      <c r="A65" s="24">
        <v>51</v>
      </c>
      <c r="B65" s="507" t="str">
        <f>IF('As-Filed Schedule 2E'!B65:D65=0,"",'As-Filed Schedule 2E'!B65:D65)</f>
        <v/>
      </c>
      <c r="C65" s="507"/>
      <c r="D65" s="507"/>
      <c r="F65" s="117">
        <f>'As-Filed Schedule 2E'!F65</f>
        <v>0</v>
      </c>
      <c r="G65" s="313">
        <f>SUMIFS(Adjustments!$G:$G,Adjustments!$H:$H,"2E",Adjustments!$I:$I,'Schedule 2E Adjustments'!$F$12,Adjustments!$J:$J,'Schedule 2E Adjustments'!$A65)</f>
        <v>0</v>
      </c>
      <c r="H65" s="309">
        <f t="shared" si="0"/>
        <v>0</v>
      </c>
      <c r="I65" s="68">
        <f>IFERROR(F65*'As-Filed Schedule 1'!$E$103,0)</f>
        <v>0</v>
      </c>
      <c r="J65" s="310">
        <f>IFERROR(H65*'Adjusted Schedule 1'!$E$104,0)</f>
        <v>0</v>
      </c>
      <c r="K65" s="68">
        <f t="shared" si="1"/>
        <v>0</v>
      </c>
      <c r="L65" s="310">
        <f t="shared" si="2"/>
        <v>0</v>
      </c>
      <c r="N65" s="117">
        <f>'As-Filed Schedule 2E'!J65</f>
        <v>0</v>
      </c>
      <c r="O65" s="313">
        <f>SUMIFS(Adjustments!$G:$G,Adjustments!$H:$H,"2E",Adjustments!$I:$I,'Schedule 2E Adjustments'!$N$12,Adjustments!$J:$J,'Schedule 2E Adjustments'!$A65)</f>
        <v>0</v>
      </c>
      <c r="P65" s="309">
        <f t="shared" si="3"/>
        <v>0</v>
      </c>
      <c r="Q65" s="68">
        <f>IFERROR(N65*'As-Filed Schedule 1'!$E$103,0)</f>
        <v>0</v>
      </c>
      <c r="R65" s="68">
        <f>IFERROR(P65*'Adjusted Schedule 1'!$E$104,0)</f>
        <v>0</v>
      </c>
      <c r="S65" s="68">
        <f t="shared" si="4"/>
        <v>0</v>
      </c>
      <c r="T65" s="310">
        <f t="shared" si="5"/>
        <v>0</v>
      </c>
      <c r="V65" s="120">
        <f>'As-Filed Schedule 2E'!N65</f>
        <v>0</v>
      </c>
      <c r="W65" s="313">
        <f>SUMIFS(Adjustments!$G:$G,Adjustments!$H:$H,"2E",Adjustments!$I:$I,'Schedule 2E Adjustments'!$V$12,Adjustments!$J:$J,'Schedule 2E Adjustments'!$A65)</f>
        <v>0</v>
      </c>
      <c r="X65" s="309">
        <f t="shared" si="6"/>
        <v>0</v>
      </c>
      <c r="Y65" s="120">
        <f>'As-Filed Schedule 2E'!O65</f>
        <v>0</v>
      </c>
      <c r="Z65" s="313">
        <f>SUMIFS(Adjustments!$G:$G,Adjustments!$H:$H,"2E",Adjustments!$I:$I,'Schedule 2E Adjustments'!$Y$12,Adjustments!$J:$J,'Schedule 2E Adjustments'!$A65)</f>
        <v>0</v>
      </c>
      <c r="AA65" s="309">
        <f t="shared" si="7"/>
        <v>0</v>
      </c>
    </row>
    <row r="66" spans="1:27" x14ac:dyDescent="0.35">
      <c r="A66" s="24">
        <v>52</v>
      </c>
      <c r="B66" s="507" t="str">
        <f>IF('As-Filed Schedule 2E'!B66:D66=0,"",'As-Filed Schedule 2E'!B66:D66)</f>
        <v/>
      </c>
      <c r="C66" s="507"/>
      <c r="D66" s="507"/>
      <c r="F66" s="117">
        <f>'As-Filed Schedule 2E'!F66</f>
        <v>0</v>
      </c>
      <c r="G66" s="313">
        <f>SUMIFS(Adjustments!$G:$G,Adjustments!$H:$H,"2E",Adjustments!$I:$I,'Schedule 2E Adjustments'!$F$12,Adjustments!$J:$J,'Schedule 2E Adjustments'!$A66)</f>
        <v>0</v>
      </c>
      <c r="H66" s="309">
        <f t="shared" si="0"/>
        <v>0</v>
      </c>
      <c r="I66" s="68">
        <f>IFERROR(F66*'As-Filed Schedule 1'!$E$103,0)</f>
        <v>0</v>
      </c>
      <c r="J66" s="310">
        <f>IFERROR(H66*'Adjusted Schedule 1'!$E$104,0)</f>
        <v>0</v>
      </c>
      <c r="K66" s="68">
        <f t="shared" si="1"/>
        <v>0</v>
      </c>
      <c r="L66" s="310">
        <f t="shared" si="2"/>
        <v>0</v>
      </c>
      <c r="N66" s="117">
        <f>'As-Filed Schedule 2E'!J66</f>
        <v>0</v>
      </c>
      <c r="O66" s="313">
        <f>SUMIFS(Adjustments!$G:$G,Adjustments!$H:$H,"2E",Adjustments!$I:$I,'Schedule 2E Adjustments'!$N$12,Adjustments!$J:$J,'Schedule 2E Adjustments'!$A66)</f>
        <v>0</v>
      </c>
      <c r="P66" s="309">
        <f t="shared" si="3"/>
        <v>0</v>
      </c>
      <c r="Q66" s="68">
        <f>IFERROR(N66*'As-Filed Schedule 1'!$E$103,0)</f>
        <v>0</v>
      </c>
      <c r="R66" s="68">
        <f>IFERROR(P66*'Adjusted Schedule 1'!$E$104,0)</f>
        <v>0</v>
      </c>
      <c r="S66" s="68">
        <f t="shared" si="4"/>
        <v>0</v>
      </c>
      <c r="T66" s="310">
        <f t="shared" si="5"/>
        <v>0</v>
      </c>
      <c r="V66" s="120">
        <f>'As-Filed Schedule 2E'!N66</f>
        <v>0</v>
      </c>
      <c r="W66" s="313">
        <f>SUMIFS(Adjustments!$G:$G,Adjustments!$H:$H,"2E",Adjustments!$I:$I,'Schedule 2E Adjustments'!$V$12,Adjustments!$J:$J,'Schedule 2E Adjustments'!$A66)</f>
        <v>0</v>
      </c>
      <c r="X66" s="309">
        <f t="shared" si="6"/>
        <v>0</v>
      </c>
      <c r="Y66" s="120">
        <f>'As-Filed Schedule 2E'!O66</f>
        <v>0</v>
      </c>
      <c r="Z66" s="313">
        <f>SUMIFS(Adjustments!$G:$G,Adjustments!$H:$H,"2E",Adjustments!$I:$I,'Schedule 2E Adjustments'!$Y$12,Adjustments!$J:$J,'Schedule 2E Adjustments'!$A66)</f>
        <v>0</v>
      </c>
      <c r="AA66" s="309">
        <f t="shared" si="7"/>
        <v>0</v>
      </c>
    </row>
    <row r="67" spans="1:27" x14ac:dyDescent="0.35">
      <c r="A67" s="24">
        <v>53</v>
      </c>
      <c r="B67" s="507" t="str">
        <f>IF('As-Filed Schedule 2E'!B67:D67=0,"",'As-Filed Schedule 2E'!B67:D67)</f>
        <v/>
      </c>
      <c r="C67" s="507"/>
      <c r="D67" s="507"/>
      <c r="F67" s="117">
        <f>'As-Filed Schedule 2E'!F67</f>
        <v>0</v>
      </c>
      <c r="G67" s="313">
        <f>SUMIFS(Adjustments!$G:$G,Adjustments!$H:$H,"2E",Adjustments!$I:$I,'Schedule 2E Adjustments'!$F$12,Adjustments!$J:$J,'Schedule 2E Adjustments'!$A67)</f>
        <v>0</v>
      </c>
      <c r="H67" s="309">
        <f t="shared" si="0"/>
        <v>0</v>
      </c>
      <c r="I67" s="68">
        <f>IFERROR(F67*'As-Filed Schedule 1'!$E$103,0)</f>
        <v>0</v>
      </c>
      <c r="J67" s="310">
        <f>IFERROR(H67*'Adjusted Schedule 1'!$E$104,0)</f>
        <v>0</v>
      </c>
      <c r="K67" s="68">
        <f t="shared" si="1"/>
        <v>0</v>
      </c>
      <c r="L67" s="310">
        <f t="shared" si="2"/>
        <v>0</v>
      </c>
      <c r="N67" s="117">
        <f>'As-Filed Schedule 2E'!J67</f>
        <v>0</v>
      </c>
      <c r="O67" s="313">
        <f>SUMIFS(Adjustments!$G:$G,Adjustments!$H:$H,"2E",Adjustments!$I:$I,'Schedule 2E Adjustments'!$N$12,Adjustments!$J:$J,'Schedule 2E Adjustments'!$A67)</f>
        <v>0</v>
      </c>
      <c r="P67" s="309">
        <f t="shared" si="3"/>
        <v>0</v>
      </c>
      <c r="Q67" s="68">
        <f>IFERROR(N67*'As-Filed Schedule 1'!$E$103,0)</f>
        <v>0</v>
      </c>
      <c r="R67" s="68">
        <f>IFERROR(P67*'Adjusted Schedule 1'!$E$104,0)</f>
        <v>0</v>
      </c>
      <c r="S67" s="68">
        <f t="shared" si="4"/>
        <v>0</v>
      </c>
      <c r="T67" s="310">
        <f t="shared" si="5"/>
        <v>0</v>
      </c>
      <c r="V67" s="120">
        <f>'As-Filed Schedule 2E'!N67</f>
        <v>0</v>
      </c>
      <c r="W67" s="313">
        <f>SUMIFS(Adjustments!$G:$G,Adjustments!$H:$H,"2E",Adjustments!$I:$I,'Schedule 2E Adjustments'!$V$12,Adjustments!$J:$J,'Schedule 2E Adjustments'!$A67)</f>
        <v>0</v>
      </c>
      <c r="X67" s="309">
        <f t="shared" si="6"/>
        <v>0</v>
      </c>
      <c r="Y67" s="120">
        <f>'As-Filed Schedule 2E'!O67</f>
        <v>0</v>
      </c>
      <c r="Z67" s="313">
        <f>SUMIFS(Adjustments!$G:$G,Adjustments!$H:$H,"2E",Adjustments!$I:$I,'Schedule 2E Adjustments'!$Y$12,Adjustments!$J:$J,'Schedule 2E Adjustments'!$A67)</f>
        <v>0</v>
      </c>
      <c r="AA67" s="309">
        <f t="shared" si="7"/>
        <v>0</v>
      </c>
    </row>
    <row r="68" spans="1:27" x14ac:dyDescent="0.35">
      <c r="A68" s="24">
        <v>54</v>
      </c>
      <c r="B68" s="507" t="str">
        <f>IF('As-Filed Schedule 2E'!B68:D68=0,"",'As-Filed Schedule 2E'!B68:D68)</f>
        <v/>
      </c>
      <c r="C68" s="507"/>
      <c r="D68" s="507"/>
      <c r="F68" s="117">
        <f>'As-Filed Schedule 2E'!F68</f>
        <v>0</v>
      </c>
      <c r="G68" s="313">
        <f>SUMIFS(Adjustments!$G:$G,Adjustments!$H:$H,"2E",Adjustments!$I:$I,'Schedule 2E Adjustments'!$F$12,Adjustments!$J:$J,'Schedule 2E Adjustments'!$A68)</f>
        <v>0</v>
      </c>
      <c r="H68" s="309">
        <f t="shared" si="0"/>
        <v>0</v>
      </c>
      <c r="I68" s="68">
        <f>IFERROR(F68*'As-Filed Schedule 1'!$E$103,0)</f>
        <v>0</v>
      </c>
      <c r="J68" s="310">
        <f>IFERROR(H68*'Adjusted Schedule 1'!$E$104,0)</f>
        <v>0</v>
      </c>
      <c r="K68" s="68">
        <f t="shared" si="1"/>
        <v>0</v>
      </c>
      <c r="L68" s="310">
        <f t="shared" si="2"/>
        <v>0</v>
      </c>
      <c r="N68" s="117">
        <f>'As-Filed Schedule 2E'!J68</f>
        <v>0</v>
      </c>
      <c r="O68" s="313">
        <f>SUMIFS(Adjustments!$G:$G,Adjustments!$H:$H,"2E",Adjustments!$I:$I,'Schedule 2E Adjustments'!$N$12,Adjustments!$J:$J,'Schedule 2E Adjustments'!$A68)</f>
        <v>0</v>
      </c>
      <c r="P68" s="309">
        <f t="shared" si="3"/>
        <v>0</v>
      </c>
      <c r="Q68" s="68">
        <f>IFERROR(N68*'As-Filed Schedule 1'!$E$103,0)</f>
        <v>0</v>
      </c>
      <c r="R68" s="68">
        <f>IFERROR(P68*'Adjusted Schedule 1'!$E$104,0)</f>
        <v>0</v>
      </c>
      <c r="S68" s="68">
        <f t="shared" si="4"/>
        <v>0</v>
      </c>
      <c r="T68" s="310">
        <f t="shared" si="5"/>
        <v>0</v>
      </c>
      <c r="V68" s="120">
        <f>'As-Filed Schedule 2E'!N68</f>
        <v>0</v>
      </c>
      <c r="W68" s="313">
        <f>SUMIFS(Adjustments!$G:$G,Adjustments!$H:$H,"2E",Adjustments!$I:$I,'Schedule 2E Adjustments'!$V$12,Adjustments!$J:$J,'Schedule 2E Adjustments'!$A68)</f>
        <v>0</v>
      </c>
      <c r="X68" s="309">
        <f t="shared" si="6"/>
        <v>0</v>
      </c>
      <c r="Y68" s="120">
        <f>'As-Filed Schedule 2E'!O68</f>
        <v>0</v>
      </c>
      <c r="Z68" s="313">
        <f>SUMIFS(Adjustments!$G:$G,Adjustments!$H:$H,"2E",Adjustments!$I:$I,'Schedule 2E Adjustments'!$Y$12,Adjustments!$J:$J,'Schedule 2E Adjustments'!$A68)</f>
        <v>0</v>
      </c>
      <c r="AA68" s="309">
        <f t="shared" si="7"/>
        <v>0</v>
      </c>
    </row>
    <row r="69" spans="1:27" x14ac:dyDescent="0.35">
      <c r="A69" s="24">
        <v>55</v>
      </c>
      <c r="B69" s="507" t="str">
        <f>IF('As-Filed Schedule 2E'!B69:D69=0,"",'As-Filed Schedule 2E'!B69:D69)</f>
        <v/>
      </c>
      <c r="C69" s="507"/>
      <c r="D69" s="507"/>
      <c r="F69" s="117">
        <f>'As-Filed Schedule 2E'!F69</f>
        <v>0</v>
      </c>
      <c r="G69" s="313">
        <f>SUMIFS(Adjustments!$G:$G,Adjustments!$H:$H,"2E",Adjustments!$I:$I,'Schedule 2E Adjustments'!$F$12,Adjustments!$J:$J,'Schedule 2E Adjustments'!$A69)</f>
        <v>0</v>
      </c>
      <c r="H69" s="309">
        <f t="shared" si="0"/>
        <v>0</v>
      </c>
      <c r="I69" s="68">
        <f>IFERROR(F69*'As-Filed Schedule 1'!$E$103,0)</f>
        <v>0</v>
      </c>
      <c r="J69" s="310">
        <f>IFERROR(H69*'Adjusted Schedule 1'!$E$104,0)</f>
        <v>0</v>
      </c>
      <c r="K69" s="68">
        <f t="shared" si="1"/>
        <v>0</v>
      </c>
      <c r="L69" s="310">
        <f t="shared" si="2"/>
        <v>0</v>
      </c>
      <c r="N69" s="117">
        <f>'As-Filed Schedule 2E'!J69</f>
        <v>0</v>
      </c>
      <c r="O69" s="313">
        <f>SUMIFS(Adjustments!$G:$G,Adjustments!$H:$H,"2E",Adjustments!$I:$I,'Schedule 2E Adjustments'!$N$12,Adjustments!$J:$J,'Schedule 2E Adjustments'!$A69)</f>
        <v>0</v>
      </c>
      <c r="P69" s="309">
        <f t="shared" si="3"/>
        <v>0</v>
      </c>
      <c r="Q69" s="68">
        <f>IFERROR(N69*'As-Filed Schedule 1'!$E$103,0)</f>
        <v>0</v>
      </c>
      <c r="R69" s="68">
        <f>IFERROR(P69*'Adjusted Schedule 1'!$E$104,0)</f>
        <v>0</v>
      </c>
      <c r="S69" s="68">
        <f t="shared" si="4"/>
        <v>0</v>
      </c>
      <c r="T69" s="310">
        <f t="shared" si="5"/>
        <v>0</v>
      </c>
      <c r="V69" s="120">
        <f>'As-Filed Schedule 2E'!N69</f>
        <v>0</v>
      </c>
      <c r="W69" s="313">
        <f>SUMIFS(Adjustments!$G:$G,Adjustments!$H:$H,"2E",Adjustments!$I:$I,'Schedule 2E Adjustments'!$V$12,Adjustments!$J:$J,'Schedule 2E Adjustments'!$A69)</f>
        <v>0</v>
      </c>
      <c r="X69" s="309">
        <f t="shared" si="6"/>
        <v>0</v>
      </c>
      <c r="Y69" s="120">
        <f>'As-Filed Schedule 2E'!O69</f>
        <v>0</v>
      </c>
      <c r="Z69" s="313">
        <f>SUMIFS(Adjustments!$G:$G,Adjustments!$H:$H,"2E",Adjustments!$I:$I,'Schedule 2E Adjustments'!$Y$12,Adjustments!$J:$J,'Schedule 2E Adjustments'!$A69)</f>
        <v>0</v>
      </c>
      <c r="AA69" s="309">
        <f t="shared" si="7"/>
        <v>0</v>
      </c>
    </row>
    <row r="70" spans="1:27" x14ac:dyDescent="0.35">
      <c r="A70" s="24">
        <v>56</v>
      </c>
      <c r="B70" s="507" t="str">
        <f>IF('As-Filed Schedule 2E'!B70:D70=0,"",'As-Filed Schedule 2E'!B70:D70)</f>
        <v/>
      </c>
      <c r="C70" s="507"/>
      <c r="D70" s="507"/>
      <c r="F70" s="117">
        <f>'As-Filed Schedule 2E'!F70</f>
        <v>0</v>
      </c>
      <c r="G70" s="313">
        <f>SUMIFS(Adjustments!$G:$G,Adjustments!$H:$H,"2E",Adjustments!$I:$I,'Schedule 2E Adjustments'!$F$12,Adjustments!$J:$J,'Schedule 2E Adjustments'!$A70)</f>
        <v>0</v>
      </c>
      <c r="H70" s="309">
        <f t="shared" si="0"/>
        <v>0</v>
      </c>
      <c r="I70" s="68">
        <f>IFERROR(F70*'As-Filed Schedule 1'!$E$103,0)</f>
        <v>0</v>
      </c>
      <c r="J70" s="310">
        <f>IFERROR(H70*'Adjusted Schedule 1'!$E$104,0)</f>
        <v>0</v>
      </c>
      <c r="K70" s="68">
        <f t="shared" si="1"/>
        <v>0</v>
      </c>
      <c r="L70" s="310">
        <f t="shared" si="2"/>
        <v>0</v>
      </c>
      <c r="N70" s="117">
        <f>'As-Filed Schedule 2E'!J70</f>
        <v>0</v>
      </c>
      <c r="O70" s="313">
        <f>SUMIFS(Adjustments!$G:$G,Adjustments!$H:$H,"2E",Adjustments!$I:$I,'Schedule 2E Adjustments'!$N$12,Adjustments!$J:$J,'Schedule 2E Adjustments'!$A70)</f>
        <v>0</v>
      </c>
      <c r="P70" s="309">
        <f t="shared" si="3"/>
        <v>0</v>
      </c>
      <c r="Q70" s="68">
        <f>IFERROR(N70*'As-Filed Schedule 1'!$E$103,0)</f>
        <v>0</v>
      </c>
      <c r="R70" s="68">
        <f>IFERROR(P70*'Adjusted Schedule 1'!$E$104,0)</f>
        <v>0</v>
      </c>
      <c r="S70" s="68">
        <f t="shared" si="4"/>
        <v>0</v>
      </c>
      <c r="T70" s="310">
        <f t="shared" si="5"/>
        <v>0</v>
      </c>
      <c r="V70" s="120">
        <f>'As-Filed Schedule 2E'!N70</f>
        <v>0</v>
      </c>
      <c r="W70" s="313">
        <f>SUMIFS(Adjustments!$G:$G,Adjustments!$H:$H,"2E",Adjustments!$I:$I,'Schedule 2E Adjustments'!$V$12,Adjustments!$J:$J,'Schedule 2E Adjustments'!$A70)</f>
        <v>0</v>
      </c>
      <c r="X70" s="309">
        <f t="shared" si="6"/>
        <v>0</v>
      </c>
      <c r="Y70" s="120">
        <f>'As-Filed Schedule 2E'!O70</f>
        <v>0</v>
      </c>
      <c r="Z70" s="313">
        <f>SUMIFS(Adjustments!$G:$G,Adjustments!$H:$H,"2E",Adjustments!$I:$I,'Schedule 2E Adjustments'!$Y$12,Adjustments!$J:$J,'Schedule 2E Adjustments'!$A70)</f>
        <v>0</v>
      </c>
      <c r="AA70" s="309">
        <f t="shared" si="7"/>
        <v>0</v>
      </c>
    </row>
    <row r="71" spans="1:27" x14ac:dyDescent="0.35">
      <c r="A71" s="24">
        <v>57</v>
      </c>
      <c r="B71" s="507" t="str">
        <f>IF('As-Filed Schedule 2E'!B71:D71=0,"",'As-Filed Schedule 2E'!B71:D71)</f>
        <v/>
      </c>
      <c r="C71" s="507"/>
      <c r="D71" s="507"/>
      <c r="F71" s="117">
        <f>'As-Filed Schedule 2E'!F71</f>
        <v>0</v>
      </c>
      <c r="G71" s="313">
        <f>SUMIFS(Adjustments!$G:$G,Adjustments!$H:$H,"2E",Adjustments!$I:$I,'Schedule 2E Adjustments'!$F$12,Adjustments!$J:$J,'Schedule 2E Adjustments'!$A71)</f>
        <v>0</v>
      </c>
      <c r="H71" s="309">
        <f t="shared" si="0"/>
        <v>0</v>
      </c>
      <c r="I71" s="68">
        <f>IFERROR(F71*'As-Filed Schedule 1'!$E$103,0)</f>
        <v>0</v>
      </c>
      <c r="J71" s="310">
        <f>IFERROR(H71*'Adjusted Schedule 1'!$E$104,0)</f>
        <v>0</v>
      </c>
      <c r="K71" s="68">
        <f t="shared" si="1"/>
        <v>0</v>
      </c>
      <c r="L71" s="310">
        <f t="shared" si="2"/>
        <v>0</v>
      </c>
      <c r="N71" s="117">
        <f>'As-Filed Schedule 2E'!J71</f>
        <v>0</v>
      </c>
      <c r="O71" s="313">
        <f>SUMIFS(Adjustments!$G:$G,Adjustments!$H:$H,"2E",Adjustments!$I:$I,'Schedule 2E Adjustments'!$N$12,Adjustments!$J:$J,'Schedule 2E Adjustments'!$A71)</f>
        <v>0</v>
      </c>
      <c r="P71" s="309">
        <f t="shared" si="3"/>
        <v>0</v>
      </c>
      <c r="Q71" s="68">
        <f>IFERROR(N71*'As-Filed Schedule 1'!$E$103,0)</f>
        <v>0</v>
      </c>
      <c r="R71" s="68">
        <f>IFERROR(P71*'Adjusted Schedule 1'!$E$104,0)</f>
        <v>0</v>
      </c>
      <c r="S71" s="68">
        <f t="shared" si="4"/>
        <v>0</v>
      </c>
      <c r="T71" s="310">
        <f t="shared" si="5"/>
        <v>0</v>
      </c>
      <c r="V71" s="120">
        <f>'As-Filed Schedule 2E'!N71</f>
        <v>0</v>
      </c>
      <c r="W71" s="313">
        <f>SUMIFS(Adjustments!$G:$G,Adjustments!$H:$H,"2E",Adjustments!$I:$I,'Schedule 2E Adjustments'!$V$12,Adjustments!$J:$J,'Schedule 2E Adjustments'!$A71)</f>
        <v>0</v>
      </c>
      <c r="X71" s="309">
        <f t="shared" si="6"/>
        <v>0</v>
      </c>
      <c r="Y71" s="120">
        <f>'As-Filed Schedule 2E'!O71</f>
        <v>0</v>
      </c>
      <c r="Z71" s="313">
        <f>SUMIFS(Adjustments!$G:$G,Adjustments!$H:$H,"2E",Adjustments!$I:$I,'Schedule 2E Adjustments'!$Y$12,Adjustments!$J:$J,'Schedule 2E Adjustments'!$A71)</f>
        <v>0</v>
      </c>
      <c r="AA71" s="309">
        <f t="shared" si="7"/>
        <v>0</v>
      </c>
    </row>
    <row r="72" spans="1:27" x14ac:dyDescent="0.35">
      <c r="A72" s="24">
        <v>58</v>
      </c>
      <c r="B72" s="507" t="str">
        <f>IF('As-Filed Schedule 2E'!B72:D72=0,"",'As-Filed Schedule 2E'!B72:D72)</f>
        <v/>
      </c>
      <c r="C72" s="507"/>
      <c r="D72" s="507"/>
      <c r="F72" s="117">
        <f>'As-Filed Schedule 2E'!F72</f>
        <v>0</v>
      </c>
      <c r="G72" s="313">
        <f>SUMIFS(Adjustments!$G:$G,Adjustments!$H:$H,"2E",Adjustments!$I:$I,'Schedule 2E Adjustments'!$F$12,Adjustments!$J:$J,'Schedule 2E Adjustments'!$A72)</f>
        <v>0</v>
      </c>
      <c r="H72" s="309">
        <f t="shared" si="0"/>
        <v>0</v>
      </c>
      <c r="I72" s="68">
        <f>IFERROR(F72*'As-Filed Schedule 1'!$E$103,0)</f>
        <v>0</v>
      </c>
      <c r="J72" s="310">
        <f>IFERROR(H72*'Adjusted Schedule 1'!$E$104,0)</f>
        <v>0</v>
      </c>
      <c r="K72" s="68">
        <f t="shared" si="1"/>
        <v>0</v>
      </c>
      <c r="L72" s="310">
        <f t="shared" si="2"/>
        <v>0</v>
      </c>
      <c r="N72" s="117">
        <f>'As-Filed Schedule 2E'!J72</f>
        <v>0</v>
      </c>
      <c r="O72" s="313">
        <f>SUMIFS(Adjustments!$G:$G,Adjustments!$H:$H,"2E",Adjustments!$I:$I,'Schedule 2E Adjustments'!$N$12,Adjustments!$J:$J,'Schedule 2E Adjustments'!$A72)</f>
        <v>0</v>
      </c>
      <c r="P72" s="309">
        <f t="shared" si="3"/>
        <v>0</v>
      </c>
      <c r="Q72" s="68">
        <f>IFERROR(N72*'As-Filed Schedule 1'!$E$103,0)</f>
        <v>0</v>
      </c>
      <c r="R72" s="68">
        <f>IFERROR(P72*'Adjusted Schedule 1'!$E$104,0)</f>
        <v>0</v>
      </c>
      <c r="S72" s="68">
        <f t="shared" si="4"/>
        <v>0</v>
      </c>
      <c r="T72" s="310">
        <f t="shared" si="5"/>
        <v>0</v>
      </c>
      <c r="V72" s="120">
        <f>'As-Filed Schedule 2E'!N72</f>
        <v>0</v>
      </c>
      <c r="W72" s="313">
        <f>SUMIFS(Adjustments!$G:$G,Adjustments!$H:$H,"2E",Adjustments!$I:$I,'Schedule 2E Adjustments'!$V$12,Adjustments!$J:$J,'Schedule 2E Adjustments'!$A72)</f>
        <v>0</v>
      </c>
      <c r="X72" s="309">
        <f t="shared" si="6"/>
        <v>0</v>
      </c>
      <c r="Y72" s="120">
        <f>'As-Filed Schedule 2E'!O72</f>
        <v>0</v>
      </c>
      <c r="Z72" s="313">
        <f>SUMIFS(Adjustments!$G:$G,Adjustments!$H:$H,"2E",Adjustments!$I:$I,'Schedule 2E Adjustments'!$Y$12,Adjustments!$J:$J,'Schedule 2E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811</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840</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813</v>
      </c>
      <c r="C8" s="1"/>
      <c r="F8" s="119" t="str">
        <f>'As-Filed Schedule 2F'!F8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2F'!B15:D15=0,"",'As-Filed Schedule 2F'!B15:D15)</f>
        <v/>
      </c>
      <c r="C15" s="507"/>
      <c r="D15" s="507"/>
      <c r="F15" s="117">
        <f>'As-Filed Schedule 2F'!F15</f>
        <v>0</v>
      </c>
      <c r="G15" s="313">
        <f>SUMIFS(Adjustments!$G:$G,Adjustments!$H:$H,"2F",Adjustments!$I:$I,'Schedule 2F Adjustments'!$F$12,Adjustments!$J:$J,'Schedule 2F Adjustments'!$A15)</f>
        <v>0</v>
      </c>
      <c r="H15" s="309">
        <f>SUM(F15:G15)</f>
        <v>0</v>
      </c>
      <c r="I15" s="68">
        <f>IFERROR(F15*'As-Filed Schedule 1'!$E$103,0)</f>
        <v>0</v>
      </c>
      <c r="J15" s="310">
        <f>IFERROR(H15*'Adjusted Schedule 1'!$E$104,0)</f>
        <v>0</v>
      </c>
      <c r="K15" s="68">
        <f>SUM(F15,I15)</f>
        <v>0</v>
      </c>
      <c r="L15" s="310">
        <f>SUM(H15,J15)</f>
        <v>0</v>
      </c>
      <c r="N15" s="117">
        <f>'As-Filed Schedule 2F'!J15</f>
        <v>0</v>
      </c>
      <c r="O15" s="313">
        <f>SUMIFS(Adjustments!$G:$G,Adjustments!$H:$H,"2F",Adjustments!$I:$I,'Schedule 2F Adjustments'!$N$12,Adjustments!$J:$J,'Schedule 2F Adjustments'!$A15)</f>
        <v>0</v>
      </c>
      <c r="P15" s="309">
        <f>SUM(N15:O15)</f>
        <v>0</v>
      </c>
      <c r="Q15" s="68">
        <f>IFERROR(N15*'As-Filed Schedule 1'!$E$103,0)</f>
        <v>0</v>
      </c>
      <c r="R15" s="68">
        <f>IFERROR(P15*'Adjusted Schedule 1'!$E$104,0)</f>
        <v>0</v>
      </c>
      <c r="S15" s="68">
        <f>SUM(N15,Q15)</f>
        <v>0</v>
      </c>
      <c r="T15" s="310">
        <f>SUM(P15,R15)</f>
        <v>0</v>
      </c>
      <c r="V15" s="120">
        <f>'As-Filed Schedule 2F'!N15</f>
        <v>0</v>
      </c>
      <c r="W15" s="313">
        <f>SUMIFS(Adjustments!$G:$G,Adjustments!$H:$H,"2F",Adjustments!$I:$I,'Schedule 2F Adjustments'!$V$12,Adjustments!$J:$J,'Schedule 2F Adjustments'!$A15)</f>
        <v>0</v>
      </c>
      <c r="X15" s="309">
        <f>SUM(V15:W15)</f>
        <v>0</v>
      </c>
      <c r="Y15" s="120">
        <f>'As-Filed Schedule 2F'!O15</f>
        <v>0</v>
      </c>
      <c r="Z15" s="313">
        <f>SUMIFS(Adjustments!$G:$G,Adjustments!$H:$H,"2F",Adjustments!$I:$I,'Schedule 2F Adjustments'!$Y$12,Adjustments!$J:$J,'Schedule 2F Adjustments'!$A15)</f>
        <v>0</v>
      </c>
      <c r="AA15" s="309">
        <f>SUM(Y15:Z15)</f>
        <v>0</v>
      </c>
    </row>
    <row r="16" spans="1:27" x14ac:dyDescent="0.35">
      <c r="A16" s="24">
        <v>2</v>
      </c>
      <c r="B16" s="507" t="str">
        <f>IF('As-Filed Schedule 2F'!B16:D16=0,"",'As-Filed Schedule 2F'!B16:D16)</f>
        <v/>
      </c>
      <c r="C16" s="507"/>
      <c r="D16" s="507"/>
      <c r="F16" s="117">
        <f>'As-Filed Schedule 2F'!F16</f>
        <v>0</v>
      </c>
      <c r="G16" s="313">
        <f>SUMIFS(Adjustments!$G:$G,Adjustments!$H:$H,"2F",Adjustments!$I:$I,'Schedule 2F Adjustments'!$F$12,Adjustments!$J:$J,'Schedule 2F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2F'!J16</f>
        <v>0</v>
      </c>
      <c r="O16" s="313">
        <f>SUMIFS(Adjustments!$G:$G,Adjustments!$H:$H,"2F",Adjustments!$I:$I,'Schedule 2F Adjustments'!$N$12,Adjustments!$J:$J,'Schedule 2F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2F'!N16</f>
        <v>0</v>
      </c>
      <c r="W16" s="313">
        <f>SUMIFS(Adjustments!$G:$G,Adjustments!$H:$H,"2F",Adjustments!$I:$I,'Schedule 2F Adjustments'!$V$12,Adjustments!$J:$J,'Schedule 2F Adjustments'!$A16)</f>
        <v>0</v>
      </c>
      <c r="X16" s="309">
        <f t="shared" ref="X16:X72" si="6">SUM(V16:W16)</f>
        <v>0</v>
      </c>
      <c r="Y16" s="120">
        <f>'As-Filed Schedule 2F'!O16</f>
        <v>0</v>
      </c>
      <c r="Z16" s="313">
        <f>SUMIFS(Adjustments!$G:$G,Adjustments!$H:$H,"2F",Adjustments!$I:$I,'Schedule 2F Adjustments'!$Y$12,Adjustments!$J:$J,'Schedule 2F Adjustments'!$A16)</f>
        <v>0</v>
      </c>
      <c r="AA16" s="309">
        <f t="shared" ref="AA16:AA72" si="7">SUM(Y16:Z16)</f>
        <v>0</v>
      </c>
    </row>
    <row r="17" spans="1:27" x14ac:dyDescent="0.35">
      <c r="A17" s="24">
        <v>3</v>
      </c>
      <c r="B17" s="507" t="str">
        <f>IF('As-Filed Schedule 2F'!B17:D17=0,"",'As-Filed Schedule 2F'!B17:D17)</f>
        <v/>
      </c>
      <c r="C17" s="507"/>
      <c r="D17" s="507"/>
      <c r="F17" s="117">
        <f>'As-Filed Schedule 2F'!F17</f>
        <v>0</v>
      </c>
      <c r="G17" s="313">
        <f>SUMIFS(Adjustments!$G:$G,Adjustments!$H:$H,"2F",Adjustments!$I:$I,'Schedule 2F Adjustments'!$F$12,Adjustments!$J:$J,'Schedule 2F Adjustments'!$A17)</f>
        <v>0</v>
      </c>
      <c r="H17" s="309">
        <f t="shared" si="0"/>
        <v>0</v>
      </c>
      <c r="I17" s="68">
        <f>IFERROR(F17*'As-Filed Schedule 1'!$E$103,0)</f>
        <v>0</v>
      </c>
      <c r="J17" s="310">
        <f>IFERROR(H17*'Adjusted Schedule 1'!$E$104,0)</f>
        <v>0</v>
      </c>
      <c r="K17" s="68">
        <f t="shared" si="1"/>
        <v>0</v>
      </c>
      <c r="L17" s="310">
        <f t="shared" si="2"/>
        <v>0</v>
      </c>
      <c r="N17" s="117">
        <f>'As-Filed Schedule 2F'!J17</f>
        <v>0</v>
      </c>
      <c r="O17" s="313">
        <f>SUMIFS(Adjustments!$G:$G,Adjustments!$H:$H,"2F",Adjustments!$I:$I,'Schedule 2F Adjustments'!$N$12,Adjustments!$J:$J,'Schedule 2F Adjustments'!$A17)</f>
        <v>0</v>
      </c>
      <c r="P17" s="309">
        <f t="shared" si="3"/>
        <v>0</v>
      </c>
      <c r="Q17" s="68">
        <f>IFERROR(N17*'As-Filed Schedule 1'!$E$103,0)</f>
        <v>0</v>
      </c>
      <c r="R17" s="68">
        <f>IFERROR(P17*'Adjusted Schedule 1'!$E$104,0)</f>
        <v>0</v>
      </c>
      <c r="S17" s="68">
        <f t="shared" si="4"/>
        <v>0</v>
      </c>
      <c r="T17" s="310">
        <f t="shared" si="5"/>
        <v>0</v>
      </c>
      <c r="V17" s="120">
        <f>'As-Filed Schedule 2F'!N17</f>
        <v>0</v>
      </c>
      <c r="W17" s="313">
        <f>SUMIFS(Adjustments!$G:$G,Adjustments!$H:$H,"2F",Adjustments!$I:$I,'Schedule 2F Adjustments'!$V$12,Adjustments!$J:$J,'Schedule 2F Adjustments'!$A17)</f>
        <v>0</v>
      </c>
      <c r="X17" s="309">
        <f t="shared" si="6"/>
        <v>0</v>
      </c>
      <c r="Y17" s="120">
        <f>'As-Filed Schedule 2F'!O17</f>
        <v>0</v>
      </c>
      <c r="Z17" s="313">
        <f>SUMIFS(Adjustments!$G:$G,Adjustments!$H:$H,"2F",Adjustments!$I:$I,'Schedule 2F Adjustments'!$Y$12,Adjustments!$J:$J,'Schedule 2F Adjustments'!$A17)</f>
        <v>0</v>
      </c>
      <c r="AA17" s="309">
        <f t="shared" si="7"/>
        <v>0</v>
      </c>
    </row>
    <row r="18" spans="1:27" x14ac:dyDescent="0.35">
      <c r="A18" s="24">
        <v>4</v>
      </c>
      <c r="B18" s="507" t="str">
        <f>IF('As-Filed Schedule 2F'!B18:D18=0,"",'As-Filed Schedule 2F'!B18:D18)</f>
        <v/>
      </c>
      <c r="C18" s="507"/>
      <c r="D18" s="507"/>
      <c r="F18" s="117">
        <f>'As-Filed Schedule 2F'!F18</f>
        <v>0</v>
      </c>
      <c r="G18" s="313">
        <f>SUMIFS(Adjustments!$G:$G,Adjustments!$H:$H,"2F",Adjustments!$I:$I,'Schedule 2F Adjustments'!$F$12,Adjustments!$J:$J,'Schedule 2F Adjustments'!$A18)</f>
        <v>0</v>
      </c>
      <c r="H18" s="309">
        <f t="shared" si="0"/>
        <v>0</v>
      </c>
      <c r="I18" s="68">
        <f>IFERROR(F18*'As-Filed Schedule 1'!$E$103,0)</f>
        <v>0</v>
      </c>
      <c r="J18" s="310">
        <f>IFERROR(H18*'Adjusted Schedule 1'!$E$104,0)</f>
        <v>0</v>
      </c>
      <c r="K18" s="68">
        <f>SUM(F18,I18)</f>
        <v>0</v>
      </c>
      <c r="L18" s="310">
        <f>SUM(H18,J18)</f>
        <v>0</v>
      </c>
      <c r="N18" s="117">
        <f>'As-Filed Schedule 2F'!J18</f>
        <v>0</v>
      </c>
      <c r="O18" s="313">
        <f>SUMIFS(Adjustments!$G:$G,Adjustments!$H:$H,"2F",Adjustments!$I:$I,'Schedule 2F Adjustments'!$N$12,Adjustments!$J:$J,'Schedule 2F Adjustments'!$A18)</f>
        <v>0</v>
      </c>
      <c r="P18" s="309">
        <f t="shared" si="3"/>
        <v>0</v>
      </c>
      <c r="Q18" s="68">
        <f>IFERROR(N18*'As-Filed Schedule 1'!$E$103,0)</f>
        <v>0</v>
      </c>
      <c r="R18" s="68">
        <f>IFERROR(P18*'Adjusted Schedule 1'!$E$104,0)</f>
        <v>0</v>
      </c>
      <c r="S18" s="68">
        <f t="shared" si="4"/>
        <v>0</v>
      </c>
      <c r="T18" s="310">
        <f t="shared" si="5"/>
        <v>0</v>
      </c>
      <c r="V18" s="120">
        <f>'As-Filed Schedule 2F'!N18</f>
        <v>0</v>
      </c>
      <c r="W18" s="313">
        <f>SUMIFS(Adjustments!$G:$G,Adjustments!$H:$H,"2F",Adjustments!$I:$I,'Schedule 2F Adjustments'!$V$12,Adjustments!$J:$J,'Schedule 2F Adjustments'!$A18)</f>
        <v>0</v>
      </c>
      <c r="X18" s="309">
        <f t="shared" si="6"/>
        <v>0</v>
      </c>
      <c r="Y18" s="120">
        <f>'As-Filed Schedule 2F'!O18</f>
        <v>0</v>
      </c>
      <c r="Z18" s="313">
        <f>SUMIFS(Adjustments!$G:$G,Adjustments!$H:$H,"2F",Adjustments!$I:$I,'Schedule 2F Adjustments'!$Y$12,Adjustments!$J:$J,'Schedule 2F Adjustments'!$A18)</f>
        <v>0</v>
      </c>
      <c r="AA18" s="309">
        <f t="shared" si="7"/>
        <v>0</v>
      </c>
    </row>
    <row r="19" spans="1:27" x14ac:dyDescent="0.35">
      <c r="A19" s="24">
        <v>5</v>
      </c>
      <c r="B19" s="507" t="str">
        <f>IF('As-Filed Schedule 2F'!B19:D19=0,"",'As-Filed Schedule 2F'!B19:D19)</f>
        <v/>
      </c>
      <c r="C19" s="507"/>
      <c r="D19" s="507"/>
      <c r="F19" s="117">
        <f>'As-Filed Schedule 2F'!F19</f>
        <v>0</v>
      </c>
      <c r="G19" s="313">
        <f>SUMIFS(Adjustments!$G:$G,Adjustments!$H:$H,"2F",Adjustments!$I:$I,'Schedule 2F Adjustments'!$F$12,Adjustments!$J:$J,'Schedule 2F Adjustments'!$A19)</f>
        <v>0</v>
      </c>
      <c r="H19" s="309">
        <f t="shared" si="0"/>
        <v>0</v>
      </c>
      <c r="I19" s="68">
        <f>IFERROR(F19*'As-Filed Schedule 1'!$E$103,0)</f>
        <v>0</v>
      </c>
      <c r="J19" s="310">
        <f>IFERROR(H19*'Adjusted Schedule 1'!$E$104,0)</f>
        <v>0</v>
      </c>
      <c r="K19" s="68">
        <f t="shared" si="1"/>
        <v>0</v>
      </c>
      <c r="L19" s="310">
        <f>SUM(H19,J19)</f>
        <v>0</v>
      </c>
      <c r="N19" s="117">
        <f>'As-Filed Schedule 2F'!J19</f>
        <v>0</v>
      </c>
      <c r="O19" s="313">
        <f>SUMIFS(Adjustments!$G:$G,Adjustments!$H:$H,"2F",Adjustments!$I:$I,'Schedule 2F Adjustments'!$N$12,Adjustments!$J:$J,'Schedule 2F Adjustments'!$A19)</f>
        <v>0</v>
      </c>
      <c r="P19" s="309">
        <f t="shared" si="3"/>
        <v>0</v>
      </c>
      <c r="Q19" s="68">
        <f>IFERROR(N19*'As-Filed Schedule 1'!$E$103,0)</f>
        <v>0</v>
      </c>
      <c r="R19" s="68">
        <f>IFERROR(P19*'Adjusted Schedule 1'!$E$104,0)</f>
        <v>0</v>
      </c>
      <c r="S19" s="68">
        <f t="shared" si="4"/>
        <v>0</v>
      </c>
      <c r="T19" s="310">
        <f t="shared" si="5"/>
        <v>0</v>
      </c>
      <c r="V19" s="120">
        <f>'As-Filed Schedule 2F'!N19</f>
        <v>0</v>
      </c>
      <c r="W19" s="313">
        <f>SUMIFS(Adjustments!$G:$G,Adjustments!$H:$H,"2F",Adjustments!$I:$I,'Schedule 2F Adjustments'!$V$12,Adjustments!$J:$J,'Schedule 2F Adjustments'!$A19)</f>
        <v>0</v>
      </c>
      <c r="X19" s="309">
        <f t="shared" si="6"/>
        <v>0</v>
      </c>
      <c r="Y19" s="120">
        <f>'As-Filed Schedule 2F'!O19</f>
        <v>0</v>
      </c>
      <c r="Z19" s="313">
        <f>SUMIFS(Adjustments!$G:$G,Adjustments!$H:$H,"2F",Adjustments!$I:$I,'Schedule 2F Adjustments'!$Y$12,Adjustments!$J:$J,'Schedule 2F Adjustments'!$A19)</f>
        <v>0</v>
      </c>
      <c r="AA19" s="309">
        <f t="shared" si="7"/>
        <v>0</v>
      </c>
    </row>
    <row r="20" spans="1:27" x14ac:dyDescent="0.35">
      <c r="A20" s="24">
        <v>6</v>
      </c>
      <c r="B20" s="507" t="str">
        <f>IF('As-Filed Schedule 2F'!B20:D20=0,"",'As-Filed Schedule 2F'!B20:D20)</f>
        <v/>
      </c>
      <c r="C20" s="507"/>
      <c r="D20" s="507"/>
      <c r="F20" s="117">
        <f>'As-Filed Schedule 2F'!F20</f>
        <v>0</v>
      </c>
      <c r="G20" s="313">
        <f>SUMIFS(Adjustments!$G:$G,Adjustments!$H:$H,"2F",Adjustments!$I:$I,'Schedule 2F Adjustments'!$F$12,Adjustments!$J:$J,'Schedule 2F Adjustments'!$A20)</f>
        <v>0</v>
      </c>
      <c r="H20" s="309">
        <f t="shared" si="0"/>
        <v>0</v>
      </c>
      <c r="I20" s="68">
        <f>IFERROR(F20*'As-Filed Schedule 1'!$E$103,0)</f>
        <v>0</v>
      </c>
      <c r="J20" s="310">
        <f>IFERROR(H20*'Adjusted Schedule 1'!$E$104,0)</f>
        <v>0</v>
      </c>
      <c r="K20" s="68">
        <f>SUM(F20,I20)</f>
        <v>0</v>
      </c>
      <c r="L20" s="310">
        <f t="shared" si="2"/>
        <v>0</v>
      </c>
      <c r="N20" s="117">
        <f>'As-Filed Schedule 2F'!J20</f>
        <v>0</v>
      </c>
      <c r="O20" s="313">
        <f>SUMIFS(Adjustments!$G:$G,Adjustments!$H:$H,"2F",Adjustments!$I:$I,'Schedule 2F Adjustments'!$N$12,Adjustments!$J:$J,'Schedule 2F Adjustments'!$A20)</f>
        <v>0</v>
      </c>
      <c r="P20" s="309">
        <f t="shared" si="3"/>
        <v>0</v>
      </c>
      <c r="Q20" s="68">
        <f>IFERROR(N20*'As-Filed Schedule 1'!$E$103,0)</f>
        <v>0</v>
      </c>
      <c r="R20" s="68">
        <f>IFERROR(P20*'Adjusted Schedule 1'!$E$104,0)</f>
        <v>0</v>
      </c>
      <c r="S20" s="68">
        <f t="shared" si="4"/>
        <v>0</v>
      </c>
      <c r="T20" s="310">
        <f t="shared" si="5"/>
        <v>0</v>
      </c>
      <c r="V20" s="120">
        <f>'As-Filed Schedule 2F'!N20</f>
        <v>0</v>
      </c>
      <c r="W20" s="313">
        <f>SUMIFS(Adjustments!$G:$G,Adjustments!$H:$H,"2F",Adjustments!$I:$I,'Schedule 2F Adjustments'!$V$12,Adjustments!$J:$J,'Schedule 2F Adjustments'!$A20)</f>
        <v>0</v>
      </c>
      <c r="X20" s="309">
        <f t="shared" si="6"/>
        <v>0</v>
      </c>
      <c r="Y20" s="120">
        <f>'As-Filed Schedule 2F'!O20</f>
        <v>0</v>
      </c>
      <c r="Z20" s="313">
        <f>SUMIFS(Adjustments!$G:$G,Adjustments!$H:$H,"2F",Adjustments!$I:$I,'Schedule 2F Adjustments'!$Y$12,Adjustments!$J:$J,'Schedule 2F Adjustments'!$A20)</f>
        <v>0</v>
      </c>
      <c r="AA20" s="309">
        <f t="shared" si="7"/>
        <v>0</v>
      </c>
    </row>
    <row r="21" spans="1:27" x14ac:dyDescent="0.35">
      <c r="A21" s="24">
        <v>7</v>
      </c>
      <c r="B21" s="507" t="str">
        <f>IF('As-Filed Schedule 2F'!B21:D21=0,"",'As-Filed Schedule 2F'!B21:D21)</f>
        <v/>
      </c>
      <c r="C21" s="507"/>
      <c r="D21" s="507"/>
      <c r="F21" s="117">
        <f>'As-Filed Schedule 2F'!F21</f>
        <v>0</v>
      </c>
      <c r="G21" s="313">
        <f>SUMIFS(Adjustments!$G:$G,Adjustments!$H:$H,"2F",Adjustments!$I:$I,'Schedule 2F Adjustments'!$F$12,Adjustments!$J:$J,'Schedule 2F Adjustments'!$A21)</f>
        <v>0</v>
      </c>
      <c r="H21" s="309">
        <f t="shared" si="0"/>
        <v>0</v>
      </c>
      <c r="I21" s="68">
        <f>IFERROR(F21*'As-Filed Schedule 1'!$E$103,0)</f>
        <v>0</v>
      </c>
      <c r="J21" s="310">
        <f>IFERROR(H21*'Adjusted Schedule 1'!$E$104,0)</f>
        <v>0</v>
      </c>
      <c r="K21" s="68">
        <f t="shared" si="1"/>
        <v>0</v>
      </c>
      <c r="L21" s="310">
        <f t="shared" si="2"/>
        <v>0</v>
      </c>
      <c r="N21" s="117">
        <f>'As-Filed Schedule 2F'!J21</f>
        <v>0</v>
      </c>
      <c r="O21" s="313">
        <f>SUMIFS(Adjustments!$G:$G,Adjustments!$H:$H,"2F",Adjustments!$I:$I,'Schedule 2F Adjustments'!$N$12,Adjustments!$J:$J,'Schedule 2F Adjustments'!$A21)</f>
        <v>0</v>
      </c>
      <c r="P21" s="309">
        <f t="shared" si="3"/>
        <v>0</v>
      </c>
      <c r="Q21" s="68">
        <f>IFERROR(N21*'As-Filed Schedule 1'!$E$103,0)</f>
        <v>0</v>
      </c>
      <c r="R21" s="68">
        <f>IFERROR(P21*'Adjusted Schedule 1'!$E$104,0)</f>
        <v>0</v>
      </c>
      <c r="S21" s="68">
        <f>SUM(N21,Q21)</f>
        <v>0</v>
      </c>
      <c r="T21" s="310">
        <f>SUM(P21,R21)</f>
        <v>0</v>
      </c>
      <c r="V21" s="120">
        <f>'As-Filed Schedule 2F'!N21</f>
        <v>0</v>
      </c>
      <c r="W21" s="313">
        <f>SUMIFS(Adjustments!$G:$G,Adjustments!$H:$H,"2F",Adjustments!$I:$I,'Schedule 2F Adjustments'!$V$12,Adjustments!$J:$J,'Schedule 2F Adjustments'!$A21)</f>
        <v>0</v>
      </c>
      <c r="X21" s="309">
        <f t="shared" si="6"/>
        <v>0</v>
      </c>
      <c r="Y21" s="120">
        <f>'As-Filed Schedule 2F'!O21</f>
        <v>0</v>
      </c>
      <c r="Z21" s="313">
        <f>SUMIFS(Adjustments!$G:$G,Adjustments!$H:$H,"2F",Adjustments!$I:$I,'Schedule 2F Adjustments'!$Y$12,Adjustments!$J:$J,'Schedule 2F Adjustments'!$A21)</f>
        <v>0</v>
      </c>
      <c r="AA21" s="309">
        <f t="shared" si="7"/>
        <v>0</v>
      </c>
    </row>
    <row r="22" spans="1:27" x14ac:dyDescent="0.35">
      <c r="A22" s="24">
        <v>8</v>
      </c>
      <c r="B22" s="507" t="str">
        <f>IF('As-Filed Schedule 2F'!B22:D22=0,"",'As-Filed Schedule 2F'!B22:D22)</f>
        <v/>
      </c>
      <c r="C22" s="507"/>
      <c r="D22" s="507"/>
      <c r="F22" s="117">
        <f>'As-Filed Schedule 2F'!F22</f>
        <v>0</v>
      </c>
      <c r="G22" s="313">
        <f>SUMIFS(Adjustments!$G:$G,Adjustments!$H:$H,"2F",Adjustments!$I:$I,'Schedule 2F Adjustments'!$F$12,Adjustments!$J:$J,'Schedule 2F Adjustments'!$A22)</f>
        <v>0</v>
      </c>
      <c r="H22" s="309">
        <f t="shared" si="0"/>
        <v>0</v>
      </c>
      <c r="I22" s="68">
        <f>IFERROR(F22*'As-Filed Schedule 1'!$E$103,0)</f>
        <v>0</v>
      </c>
      <c r="J22" s="310">
        <f>IFERROR(H22*'Adjusted Schedule 1'!$E$104,0)</f>
        <v>0</v>
      </c>
      <c r="K22" s="68">
        <f t="shared" si="1"/>
        <v>0</v>
      </c>
      <c r="L22" s="310">
        <f t="shared" si="2"/>
        <v>0</v>
      </c>
      <c r="N22" s="117">
        <f>'As-Filed Schedule 2F'!J22</f>
        <v>0</v>
      </c>
      <c r="O22" s="313">
        <f>SUMIFS(Adjustments!$G:$G,Adjustments!$H:$H,"2F",Adjustments!$I:$I,'Schedule 2F Adjustments'!$N$12,Adjustments!$J:$J,'Schedule 2F Adjustments'!$A22)</f>
        <v>0</v>
      </c>
      <c r="P22" s="309">
        <f t="shared" si="3"/>
        <v>0</v>
      </c>
      <c r="Q22" s="68">
        <f>IFERROR(N22*'As-Filed Schedule 1'!$E$103,0)</f>
        <v>0</v>
      </c>
      <c r="R22" s="68">
        <f>IFERROR(P22*'Adjusted Schedule 1'!$E$104,0)</f>
        <v>0</v>
      </c>
      <c r="S22" s="68">
        <f t="shared" si="4"/>
        <v>0</v>
      </c>
      <c r="T22" s="310">
        <f t="shared" si="5"/>
        <v>0</v>
      </c>
      <c r="V22" s="120">
        <f>'As-Filed Schedule 2F'!N22</f>
        <v>0</v>
      </c>
      <c r="W22" s="313">
        <f>SUMIFS(Adjustments!$G:$G,Adjustments!$H:$H,"2F",Adjustments!$I:$I,'Schedule 2F Adjustments'!$V$12,Adjustments!$J:$J,'Schedule 2F Adjustments'!$A22)</f>
        <v>0</v>
      </c>
      <c r="X22" s="309">
        <f t="shared" si="6"/>
        <v>0</v>
      </c>
      <c r="Y22" s="120">
        <f>'As-Filed Schedule 2F'!O22</f>
        <v>0</v>
      </c>
      <c r="Z22" s="313">
        <f>SUMIFS(Adjustments!$G:$G,Adjustments!$H:$H,"2F",Adjustments!$I:$I,'Schedule 2F Adjustments'!$Y$12,Adjustments!$J:$J,'Schedule 2F Adjustments'!$A22)</f>
        <v>0</v>
      </c>
      <c r="AA22" s="309">
        <f t="shared" si="7"/>
        <v>0</v>
      </c>
    </row>
    <row r="23" spans="1:27" x14ac:dyDescent="0.35">
      <c r="A23" s="24">
        <v>9</v>
      </c>
      <c r="B23" s="507" t="str">
        <f>IF('As-Filed Schedule 2F'!B23:D23=0,"",'As-Filed Schedule 2F'!B23:D23)</f>
        <v/>
      </c>
      <c r="C23" s="507"/>
      <c r="D23" s="507"/>
      <c r="F23" s="117">
        <f>'As-Filed Schedule 2F'!F23</f>
        <v>0</v>
      </c>
      <c r="G23" s="313">
        <f>SUMIFS(Adjustments!$G:$G,Adjustments!$H:$H,"2F",Adjustments!$I:$I,'Schedule 2F Adjustments'!$F$12,Adjustments!$J:$J,'Schedule 2F Adjustments'!$A23)</f>
        <v>0</v>
      </c>
      <c r="H23" s="309">
        <f t="shared" si="0"/>
        <v>0</v>
      </c>
      <c r="I23" s="68">
        <f>IFERROR(F23*'As-Filed Schedule 1'!$E$103,0)</f>
        <v>0</v>
      </c>
      <c r="J23" s="310">
        <f>IFERROR(H23*'Adjusted Schedule 1'!$E$104,0)</f>
        <v>0</v>
      </c>
      <c r="K23" s="68">
        <f t="shared" si="1"/>
        <v>0</v>
      </c>
      <c r="L23" s="310">
        <f t="shared" si="2"/>
        <v>0</v>
      </c>
      <c r="N23" s="117">
        <f>'As-Filed Schedule 2F'!J23</f>
        <v>0</v>
      </c>
      <c r="O23" s="313">
        <f>SUMIFS(Adjustments!$G:$G,Adjustments!$H:$H,"2F",Adjustments!$I:$I,'Schedule 2F Adjustments'!$N$12,Adjustments!$J:$J,'Schedule 2F Adjustments'!$A23)</f>
        <v>0</v>
      </c>
      <c r="P23" s="309">
        <f t="shared" si="3"/>
        <v>0</v>
      </c>
      <c r="Q23" s="68">
        <f>IFERROR(N23*'As-Filed Schedule 1'!$E$103,0)</f>
        <v>0</v>
      </c>
      <c r="R23" s="68">
        <f>IFERROR(P23*'Adjusted Schedule 1'!$E$104,0)</f>
        <v>0</v>
      </c>
      <c r="S23" s="68">
        <f t="shared" si="4"/>
        <v>0</v>
      </c>
      <c r="T23" s="310">
        <f t="shared" si="5"/>
        <v>0</v>
      </c>
      <c r="V23" s="120">
        <f>'As-Filed Schedule 2F'!N23</f>
        <v>0</v>
      </c>
      <c r="W23" s="313">
        <f>SUMIFS(Adjustments!$G:$G,Adjustments!$H:$H,"2F",Adjustments!$I:$I,'Schedule 2F Adjustments'!$V$12,Adjustments!$J:$J,'Schedule 2F Adjustments'!$A23)</f>
        <v>0</v>
      </c>
      <c r="X23" s="309">
        <f t="shared" si="6"/>
        <v>0</v>
      </c>
      <c r="Y23" s="120">
        <f>'As-Filed Schedule 2F'!O23</f>
        <v>0</v>
      </c>
      <c r="Z23" s="313">
        <f>SUMIFS(Adjustments!$G:$G,Adjustments!$H:$H,"2F",Adjustments!$I:$I,'Schedule 2F Adjustments'!$Y$12,Adjustments!$J:$J,'Schedule 2F Adjustments'!$A23)</f>
        <v>0</v>
      </c>
      <c r="AA23" s="309">
        <f t="shared" si="7"/>
        <v>0</v>
      </c>
    </row>
    <row r="24" spans="1:27" x14ac:dyDescent="0.35">
      <c r="A24" s="24">
        <v>10</v>
      </c>
      <c r="B24" s="507" t="str">
        <f>IF('As-Filed Schedule 2F'!B24:D24=0,"",'As-Filed Schedule 2F'!B24:D24)</f>
        <v/>
      </c>
      <c r="C24" s="507"/>
      <c r="D24" s="507"/>
      <c r="F24" s="117">
        <f>'As-Filed Schedule 2F'!F24</f>
        <v>0</v>
      </c>
      <c r="G24" s="313">
        <f>SUMIFS(Adjustments!$G:$G,Adjustments!$H:$H,"2F",Adjustments!$I:$I,'Schedule 2F Adjustments'!$F$12,Adjustments!$J:$J,'Schedule 2F Adjustments'!$A24)</f>
        <v>0</v>
      </c>
      <c r="H24" s="309">
        <f t="shared" si="0"/>
        <v>0</v>
      </c>
      <c r="I24" s="68">
        <f>IFERROR(F24*'As-Filed Schedule 1'!$E$103,0)</f>
        <v>0</v>
      </c>
      <c r="J24" s="310">
        <f>IFERROR(H24*'Adjusted Schedule 1'!$E$104,0)</f>
        <v>0</v>
      </c>
      <c r="K24" s="68">
        <f t="shared" si="1"/>
        <v>0</v>
      </c>
      <c r="L24" s="310">
        <f t="shared" si="2"/>
        <v>0</v>
      </c>
      <c r="N24" s="117">
        <f>'As-Filed Schedule 2F'!J24</f>
        <v>0</v>
      </c>
      <c r="O24" s="313">
        <f>SUMIFS(Adjustments!$G:$G,Adjustments!$H:$H,"2F",Adjustments!$I:$I,'Schedule 2F Adjustments'!$N$12,Adjustments!$J:$J,'Schedule 2F Adjustments'!$A24)</f>
        <v>0</v>
      </c>
      <c r="P24" s="309">
        <f t="shared" si="3"/>
        <v>0</v>
      </c>
      <c r="Q24" s="68">
        <f>IFERROR(N24*'As-Filed Schedule 1'!$E$103,0)</f>
        <v>0</v>
      </c>
      <c r="R24" s="68">
        <f>IFERROR(P24*'Adjusted Schedule 1'!$E$104,0)</f>
        <v>0</v>
      </c>
      <c r="S24" s="68">
        <f t="shared" si="4"/>
        <v>0</v>
      </c>
      <c r="T24" s="310">
        <f t="shared" si="5"/>
        <v>0</v>
      </c>
      <c r="V24" s="120">
        <f>'As-Filed Schedule 2F'!N24</f>
        <v>0</v>
      </c>
      <c r="W24" s="313">
        <f>SUMIFS(Adjustments!$G:$G,Adjustments!$H:$H,"2F",Adjustments!$I:$I,'Schedule 2F Adjustments'!$V$12,Adjustments!$J:$J,'Schedule 2F Adjustments'!$A24)</f>
        <v>0</v>
      </c>
      <c r="X24" s="309">
        <f t="shared" si="6"/>
        <v>0</v>
      </c>
      <c r="Y24" s="120">
        <f>'As-Filed Schedule 2F'!O24</f>
        <v>0</v>
      </c>
      <c r="Z24" s="313">
        <f>SUMIFS(Adjustments!$G:$G,Adjustments!$H:$H,"2F",Adjustments!$I:$I,'Schedule 2F Adjustments'!$Y$12,Adjustments!$J:$J,'Schedule 2F Adjustments'!$A24)</f>
        <v>0</v>
      </c>
      <c r="AA24" s="309">
        <f t="shared" si="7"/>
        <v>0</v>
      </c>
    </row>
    <row r="25" spans="1:27" x14ac:dyDescent="0.35">
      <c r="A25" s="24">
        <v>11</v>
      </c>
      <c r="B25" s="507" t="str">
        <f>IF('As-Filed Schedule 2F'!B25:D25=0,"",'As-Filed Schedule 2F'!B25:D25)</f>
        <v/>
      </c>
      <c r="C25" s="507"/>
      <c r="D25" s="507"/>
      <c r="F25" s="117">
        <f>'As-Filed Schedule 2F'!F25</f>
        <v>0</v>
      </c>
      <c r="G25" s="313">
        <f>SUMIFS(Adjustments!$G:$G,Adjustments!$H:$H,"2F",Adjustments!$I:$I,'Schedule 2F Adjustments'!$F$12,Adjustments!$J:$J,'Schedule 2F Adjustments'!$A25)</f>
        <v>0</v>
      </c>
      <c r="H25" s="309">
        <f t="shared" si="0"/>
        <v>0</v>
      </c>
      <c r="I25" s="68">
        <f>IFERROR(F25*'As-Filed Schedule 1'!$E$103,0)</f>
        <v>0</v>
      </c>
      <c r="J25" s="310">
        <f>IFERROR(H25*'Adjusted Schedule 1'!$E$104,0)</f>
        <v>0</v>
      </c>
      <c r="K25" s="68">
        <f t="shared" si="1"/>
        <v>0</v>
      </c>
      <c r="L25" s="310">
        <f t="shared" si="2"/>
        <v>0</v>
      </c>
      <c r="N25" s="117">
        <f>'As-Filed Schedule 2F'!J25</f>
        <v>0</v>
      </c>
      <c r="O25" s="313">
        <f>SUMIFS(Adjustments!$G:$G,Adjustments!$H:$H,"2F",Adjustments!$I:$I,'Schedule 2F Adjustments'!$N$12,Adjustments!$J:$J,'Schedule 2F Adjustments'!$A25)</f>
        <v>0</v>
      </c>
      <c r="P25" s="309">
        <f t="shared" si="3"/>
        <v>0</v>
      </c>
      <c r="Q25" s="68">
        <f>IFERROR(N25*'As-Filed Schedule 1'!$E$103,0)</f>
        <v>0</v>
      </c>
      <c r="R25" s="68">
        <f>IFERROR(P25*'Adjusted Schedule 1'!$E$104,0)</f>
        <v>0</v>
      </c>
      <c r="S25" s="68">
        <f t="shared" si="4"/>
        <v>0</v>
      </c>
      <c r="T25" s="310">
        <f t="shared" si="5"/>
        <v>0</v>
      </c>
      <c r="V25" s="120">
        <f>'As-Filed Schedule 2F'!N25</f>
        <v>0</v>
      </c>
      <c r="W25" s="313">
        <f>SUMIFS(Adjustments!$G:$G,Adjustments!$H:$H,"2F",Adjustments!$I:$I,'Schedule 2F Adjustments'!$V$12,Adjustments!$J:$J,'Schedule 2F Adjustments'!$A25)</f>
        <v>0</v>
      </c>
      <c r="X25" s="309">
        <f t="shared" si="6"/>
        <v>0</v>
      </c>
      <c r="Y25" s="120">
        <f>'As-Filed Schedule 2F'!O25</f>
        <v>0</v>
      </c>
      <c r="Z25" s="313">
        <f>SUMIFS(Adjustments!$G:$G,Adjustments!$H:$H,"2F",Adjustments!$I:$I,'Schedule 2F Adjustments'!$Y$12,Adjustments!$J:$J,'Schedule 2F Adjustments'!$A25)</f>
        <v>0</v>
      </c>
      <c r="AA25" s="309">
        <f t="shared" si="7"/>
        <v>0</v>
      </c>
    </row>
    <row r="26" spans="1:27" x14ac:dyDescent="0.35">
      <c r="A26" s="24">
        <v>12</v>
      </c>
      <c r="B26" s="507" t="str">
        <f>IF('As-Filed Schedule 2F'!B26:D26=0,"",'As-Filed Schedule 2F'!B26:D26)</f>
        <v/>
      </c>
      <c r="C26" s="507"/>
      <c r="D26" s="507"/>
      <c r="F26" s="117">
        <f>'As-Filed Schedule 2F'!F26</f>
        <v>0</v>
      </c>
      <c r="G26" s="313">
        <f>SUMIFS(Adjustments!$G:$G,Adjustments!$H:$H,"2F",Adjustments!$I:$I,'Schedule 2F Adjustments'!$F$12,Adjustments!$J:$J,'Schedule 2F Adjustments'!$A26)</f>
        <v>0</v>
      </c>
      <c r="H26" s="309">
        <f t="shared" si="0"/>
        <v>0</v>
      </c>
      <c r="I26" s="68">
        <f>IFERROR(F26*'As-Filed Schedule 1'!$E$103,0)</f>
        <v>0</v>
      </c>
      <c r="J26" s="310">
        <f>IFERROR(H26*'Adjusted Schedule 1'!$E$104,0)</f>
        <v>0</v>
      </c>
      <c r="K26" s="68">
        <f t="shared" si="1"/>
        <v>0</v>
      </c>
      <c r="L26" s="310">
        <f t="shared" si="2"/>
        <v>0</v>
      </c>
      <c r="N26" s="117">
        <f>'As-Filed Schedule 2F'!J26</f>
        <v>0</v>
      </c>
      <c r="O26" s="313">
        <f>SUMIFS(Adjustments!$G:$G,Adjustments!$H:$H,"2F",Adjustments!$I:$I,'Schedule 2F Adjustments'!$N$12,Adjustments!$J:$J,'Schedule 2F Adjustments'!$A26)</f>
        <v>0</v>
      </c>
      <c r="P26" s="309">
        <f t="shared" si="3"/>
        <v>0</v>
      </c>
      <c r="Q26" s="68">
        <f>IFERROR(N26*'As-Filed Schedule 1'!$E$103,0)</f>
        <v>0</v>
      </c>
      <c r="R26" s="68">
        <f>IFERROR(P26*'Adjusted Schedule 1'!$E$104,0)</f>
        <v>0</v>
      </c>
      <c r="S26" s="68">
        <f t="shared" si="4"/>
        <v>0</v>
      </c>
      <c r="T26" s="310">
        <f t="shared" si="5"/>
        <v>0</v>
      </c>
      <c r="V26" s="120">
        <f>'As-Filed Schedule 2F'!N26</f>
        <v>0</v>
      </c>
      <c r="W26" s="313">
        <f>SUMIFS(Adjustments!$G:$G,Adjustments!$H:$H,"2F",Adjustments!$I:$I,'Schedule 2F Adjustments'!$V$12,Adjustments!$J:$J,'Schedule 2F Adjustments'!$A26)</f>
        <v>0</v>
      </c>
      <c r="X26" s="309">
        <f t="shared" si="6"/>
        <v>0</v>
      </c>
      <c r="Y26" s="120">
        <f>'As-Filed Schedule 2F'!O26</f>
        <v>0</v>
      </c>
      <c r="Z26" s="313">
        <f>SUMIFS(Adjustments!$G:$G,Adjustments!$H:$H,"2F",Adjustments!$I:$I,'Schedule 2F Adjustments'!$Y$12,Adjustments!$J:$J,'Schedule 2F Adjustments'!$A26)</f>
        <v>0</v>
      </c>
      <c r="AA26" s="309">
        <f t="shared" si="7"/>
        <v>0</v>
      </c>
    </row>
    <row r="27" spans="1:27" x14ac:dyDescent="0.35">
      <c r="A27" s="24">
        <v>13</v>
      </c>
      <c r="B27" s="507" t="str">
        <f>IF('As-Filed Schedule 2F'!B27:D27=0,"",'As-Filed Schedule 2F'!B27:D27)</f>
        <v/>
      </c>
      <c r="C27" s="507"/>
      <c r="D27" s="507"/>
      <c r="F27" s="117">
        <f>'As-Filed Schedule 2F'!F27</f>
        <v>0</v>
      </c>
      <c r="G27" s="313">
        <f>SUMIFS(Adjustments!$G:$G,Adjustments!$H:$H,"2F",Adjustments!$I:$I,'Schedule 2F Adjustments'!$F$12,Adjustments!$J:$J,'Schedule 2F Adjustments'!$A27)</f>
        <v>0</v>
      </c>
      <c r="H27" s="309">
        <f t="shared" si="0"/>
        <v>0</v>
      </c>
      <c r="I27" s="68">
        <f>IFERROR(F27*'As-Filed Schedule 1'!$E$103,0)</f>
        <v>0</v>
      </c>
      <c r="J27" s="310">
        <f>IFERROR(H27*'Adjusted Schedule 1'!$E$104,0)</f>
        <v>0</v>
      </c>
      <c r="K27" s="68">
        <f t="shared" si="1"/>
        <v>0</v>
      </c>
      <c r="L27" s="310">
        <f t="shared" si="2"/>
        <v>0</v>
      </c>
      <c r="N27" s="117">
        <f>'As-Filed Schedule 2F'!J27</f>
        <v>0</v>
      </c>
      <c r="O27" s="313">
        <f>SUMIFS(Adjustments!$G:$G,Adjustments!$H:$H,"2F",Adjustments!$I:$I,'Schedule 2F Adjustments'!$N$12,Adjustments!$J:$J,'Schedule 2F Adjustments'!$A27)</f>
        <v>0</v>
      </c>
      <c r="P27" s="309">
        <f t="shared" si="3"/>
        <v>0</v>
      </c>
      <c r="Q27" s="68">
        <f>IFERROR(N27*'As-Filed Schedule 1'!$E$103,0)</f>
        <v>0</v>
      </c>
      <c r="R27" s="68">
        <f>IFERROR(P27*'Adjusted Schedule 1'!$E$104,0)</f>
        <v>0</v>
      </c>
      <c r="S27" s="68">
        <f t="shared" si="4"/>
        <v>0</v>
      </c>
      <c r="T27" s="310">
        <f t="shared" si="5"/>
        <v>0</v>
      </c>
      <c r="V27" s="120">
        <f>'As-Filed Schedule 2F'!N27</f>
        <v>0</v>
      </c>
      <c r="W27" s="313">
        <f>SUMIFS(Adjustments!$G:$G,Adjustments!$H:$H,"2F",Adjustments!$I:$I,'Schedule 2F Adjustments'!$V$12,Adjustments!$J:$J,'Schedule 2F Adjustments'!$A27)</f>
        <v>0</v>
      </c>
      <c r="X27" s="309">
        <f t="shared" si="6"/>
        <v>0</v>
      </c>
      <c r="Y27" s="120">
        <f>'As-Filed Schedule 2F'!O27</f>
        <v>0</v>
      </c>
      <c r="Z27" s="313">
        <f>SUMIFS(Adjustments!$G:$G,Adjustments!$H:$H,"2F",Adjustments!$I:$I,'Schedule 2F Adjustments'!$Y$12,Adjustments!$J:$J,'Schedule 2F Adjustments'!$A27)</f>
        <v>0</v>
      </c>
      <c r="AA27" s="309">
        <f t="shared" si="7"/>
        <v>0</v>
      </c>
    </row>
    <row r="28" spans="1:27" x14ac:dyDescent="0.35">
      <c r="A28" s="24">
        <v>14</v>
      </c>
      <c r="B28" s="507" t="str">
        <f>IF('As-Filed Schedule 2F'!B28:D28=0,"",'As-Filed Schedule 2F'!B28:D28)</f>
        <v/>
      </c>
      <c r="C28" s="507"/>
      <c r="D28" s="507"/>
      <c r="F28" s="117">
        <f>'As-Filed Schedule 2F'!F28</f>
        <v>0</v>
      </c>
      <c r="G28" s="313">
        <f>SUMIFS(Adjustments!$G:$G,Adjustments!$H:$H,"2F",Adjustments!$I:$I,'Schedule 2F Adjustments'!$F$12,Adjustments!$J:$J,'Schedule 2F Adjustments'!$A28)</f>
        <v>0</v>
      </c>
      <c r="H28" s="309">
        <f t="shared" si="0"/>
        <v>0</v>
      </c>
      <c r="I28" s="68">
        <f>IFERROR(F28*'As-Filed Schedule 1'!$E$103,0)</f>
        <v>0</v>
      </c>
      <c r="J28" s="310">
        <f>IFERROR(H28*'Adjusted Schedule 1'!$E$104,0)</f>
        <v>0</v>
      </c>
      <c r="K28" s="68">
        <f t="shared" si="1"/>
        <v>0</v>
      </c>
      <c r="L28" s="310">
        <f t="shared" si="2"/>
        <v>0</v>
      </c>
      <c r="N28" s="117">
        <f>'As-Filed Schedule 2F'!J28</f>
        <v>0</v>
      </c>
      <c r="O28" s="313">
        <f>SUMIFS(Adjustments!$G:$G,Adjustments!$H:$H,"2F",Adjustments!$I:$I,'Schedule 2F Adjustments'!$N$12,Adjustments!$J:$J,'Schedule 2F Adjustments'!$A28)</f>
        <v>0</v>
      </c>
      <c r="P28" s="309">
        <f t="shared" si="3"/>
        <v>0</v>
      </c>
      <c r="Q28" s="68">
        <f>IFERROR(N28*'As-Filed Schedule 1'!$E$103,0)</f>
        <v>0</v>
      </c>
      <c r="R28" s="68">
        <f>IFERROR(P28*'Adjusted Schedule 1'!$E$104,0)</f>
        <v>0</v>
      </c>
      <c r="S28" s="68">
        <f t="shared" si="4"/>
        <v>0</v>
      </c>
      <c r="T28" s="310">
        <f t="shared" si="5"/>
        <v>0</v>
      </c>
      <c r="V28" s="120">
        <f>'As-Filed Schedule 2F'!N28</f>
        <v>0</v>
      </c>
      <c r="W28" s="313">
        <f>SUMIFS(Adjustments!$G:$G,Adjustments!$H:$H,"2F",Adjustments!$I:$I,'Schedule 2F Adjustments'!$V$12,Adjustments!$J:$J,'Schedule 2F Adjustments'!$A28)</f>
        <v>0</v>
      </c>
      <c r="X28" s="309">
        <f t="shared" si="6"/>
        <v>0</v>
      </c>
      <c r="Y28" s="120">
        <f>'As-Filed Schedule 2F'!O28</f>
        <v>0</v>
      </c>
      <c r="Z28" s="313">
        <f>SUMIFS(Adjustments!$G:$G,Adjustments!$H:$H,"2F",Adjustments!$I:$I,'Schedule 2F Adjustments'!$Y$12,Adjustments!$J:$J,'Schedule 2F Adjustments'!$A28)</f>
        <v>0</v>
      </c>
      <c r="AA28" s="309">
        <f t="shared" si="7"/>
        <v>0</v>
      </c>
    </row>
    <row r="29" spans="1:27" x14ac:dyDescent="0.35">
      <c r="A29" s="24">
        <v>15</v>
      </c>
      <c r="B29" s="507" t="str">
        <f>IF('As-Filed Schedule 2F'!B29:D29=0,"",'As-Filed Schedule 2F'!B29:D29)</f>
        <v/>
      </c>
      <c r="C29" s="507"/>
      <c r="D29" s="507"/>
      <c r="F29" s="117">
        <f>'As-Filed Schedule 2F'!F29</f>
        <v>0</v>
      </c>
      <c r="G29" s="313">
        <f>SUMIFS(Adjustments!$G:$G,Adjustments!$H:$H,"2F",Adjustments!$I:$I,'Schedule 2F Adjustments'!$F$12,Adjustments!$J:$J,'Schedule 2F Adjustments'!$A29)</f>
        <v>0</v>
      </c>
      <c r="H29" s="309">
        <f t="shared" si="0"/>
        <v>0</v>
      </c>
      <c r="I29" s="68">
        <f>IFERROR(F29*'As-Filed Schedule 1'!$E$103,0)</f>
        <v>0</v>
      </c>
      <c r="J29" s="310">
        <f>IFERROR(H29*'Adjusted Schedule 1'!$E$104,0)</f>
        <v>0</v>
      </c>
      <c r="K29" s="68">
        <f t="shared" si="1"/>
        <v>0</v>
      </c>
      <c r="L29" s="310">
        <f t="shared" si="2"/>
        <v>0</v>
      </c>
      <c r="N29" s="117">
        <f>'As-Filed Schedule 2F'!J29</f>
        <v>0</v>
      </c>
      <c r="O29" s="313">
        <f>SUMIFS(Adjustments!$G:$G,Adjustments!$H:$H,"2F",Adjustments!$I:$I,'Schedule 2F Adjustments'!$N$12,Adjustments!$J:$J,'Schedule 2F Adjustments'!$A29)</f>
        <v>0</v>
      </c>
      <c r="P29" s="309">
        <f t="shared" si="3"/>
        <v>0</v>
      </c>
      <c r="Q29" s="68">
        <f>IFERROR(N29*'As-Filed Schedule 1'!$E$103,0)</f>
        <v>0</v>
      </c>
      <c r="R29" s="68">
        <f>IFERROR(P29*'Adjusted Schedule 1'!$E$104,0)</f>
        <v>0</v>
      </c>
      <c r="S29" s="68">
        <f t="shared" si="4"/>
        <v>0</v>
      </c>
      <c r="T29" s="310">
        <f t="shared" si="5"/>
        <v>0</v>
      </c>
      <c r="V29" s="120">
        <f>'As-Filed Schedule 2F'!N29</f>
        <v>0</v>
      </c>
      <c r="W29" s="313">
        <f>SUMIFS(Adjustments!$G:$G,Adjustments!$H:$H,"2F",Adjustments!$I:$I,'Schedule 2F Adjustments'!$V$12,Adjustments!$J:$J,'Schedule 2F Adjustments'!$A29)</f>
        <v>0</v>
      </c>
      <c r="X29" s="309">
        <f t="shared" si="6"/>
        <v>0</v>
      </c>
      <c r="Y29" s="120">
        <f>'As-Filed Schedule 2F'!O29</f>
        <v>0</v>
      </c>
      <c r="Z29" s="313">
        <f>SUMIFS(Adjustments!$G:$G,Adjustments!$H:$H,"2F",Adjustments!$I:$I,'Schedule 2F Adjustments'!$Y$12,Adjustments!$J:$J,'Schedule 2F Adjustments'!$A29)</f>
        <v>0</v>
      </c>
      <c r="AA29" s="309">
        <f t="shared" si="7"/>
        <v>0</v>
      </c>
    </row>
    <row r="30" spans="1:27" x14ac:dyDescent="0.35">
      <c r="A30" s="24">
        <v>16</v>
      </c>
      <c r="B30" s="507" t="str">
        <f>IF('As-Filed Schedule 2F'!B30:D30=0,"",'As-Filed Schedule 2F'!B30:D30)</f>
        <v/>
      </c>
      <c r="C30" s="507"/>
      <c r="D30" s="507"/>
      <c r="F30" s="117">
        <f>'As-Filed Schedule 2F'!F30</f>
        <v>0</v>
      </c>
      <c r="G30" s="313">
        <f>SUMIFS(Adjustments!$G:$G,Adjustments!$H:$H,"2F",Adjustments!$I:$I,'Schedule 2F Adjustments'!$F$12,Adjustments!$J:$J,'Schedule 2F Adjustments'!$A30)</f>
        <v>0</v>
      </c>
      <c r="H30" s="309">
        <f t="shared" si="0"/>
        <v>0</v>
      </c>
      <c r="I30" s="68">
        <f>IFERROR(F30*'As-Filed Schedule 1'!$E$103,0)</f>
        <v>0</v>
      </c>
      <c r="J30" s="310">
        <f>IFERROR(H30*'Adjusted Schedule 1'!$E$104,0)</f>
        <v>0</v>
      </c>
      <c r="K30" s="68">
        <f t="shared" si="1"/>
        <v>0</v>
      </c>
      <c r="L30" s="310">
        <f t="shared" si="2"/>
        <v>0</v>
      </c>
      <c r="N30" s="117">
        <f>'As-Filed Schedule 2F'!J30</f>
        <v>0</v>
      </c>
      <c r="O30" s="313">
        <f>SUMIFS(Adjustments!$G:$G,Adjustments!$H:$H,"2F",Adjustments!$I:$I,'Schedule 2F Adjustments'!$N$12,Adjustments!$J:$J,'Schedule 2F Adjustments'!$A30)</f>
        <v>0</v>
      </c>
      <c r="P30" s="309">
        <f t="shared" si="3"/>
        <v>0</v>
      </c>
      <c r="Q30" s="68">
        <f>IFERROR(N30*'As-Filed Schedule 1'!$E$103,0)</f>
        <v>0</v>
      </c>
      <c r="R30" s="68">
        <f>IFERROR(P30*'Adjusted Schedule 1'!$E$104,0)</f>
        <v>0</v>
      </c>
      <c r="S30" s="68">
        <f t="shared" si="4"/>
        <v>0</v>
      </c>
      <c r="T30" s="310">
        <f t="shared" si="5"/>
        <v>0</v>
      </c>
      <c r="V30" s="120">
        <f>'As-Filed Schedule 2F'!N30</f>
        <v>0</v>
      </c>
      <c r="W30" s="313">
        <f>SUMIFS(Adjustments!$G:$G,Adjustments!$H:$H,"2F",Adjustments!$I:$I,'Schedule 2F Adjustments'!$V$12,Adjustments!$J:$J,'Schedule 2F Adjustments'!$A30)</f>
        <v>0</v>
      </c>
      <c r="X30" s="309">
        <f t="shared" si="6"/>
        <v>0</v>
      </c>
      <c r="Y30" s="120">
        <f>'As-Filed Schedule 2F'!O30</f>
        <v>0</v>
      </c>
      <c r="Z30" s="313">
        <f>SUMIFS(Adjustments!$G:$G,Adjustments!$H:$H,"2F",Adjustments!$I:$I,'Schedule 2F Adjustments'!$Y$12,Adjustments!$J:$J,'Schedule 2F Adjustments'!$A30)</f>
        <v>0</v>
      </c>
      <c r="AA30" s="309">
        <f t="shared" si="7"/>
        <v>0</v>
      </c>
    </row>
    <row r="31" spans="1:27" x14ac:dyDescent="0.35">
      <c r="A31" s="24">
        <v>17</v>
      </c>
      <c r="B31" s="507" t="str">
        <f>IF('As-Filed Schedule 2F'!B31:D31=0,"",'As-Filed Schedule 2F'!B31:D31)</f>
        <v/>
      </c>
      <c r="C31" s="507"/>
      <c r="D31" s="507"/>
      <c r="F31" s="117">
        <f>'As-Filed Schedule 2F'!F31</f>
        <v>0</v>
      </c>
      <c r="G31" s="313">
        <f>SUMIFS(Adjustments!$G:$G,Adjustments!$H:$H,"2F",Adjustments!$I:$I,'Schedule 2F Adjustments'!$F$12,Adjustments!$J:$J,'Schedule 2F Adjustments'!$A31)</f>
        <v>0</v>
      </c>
      <c r="H31" s="309">
        <f t="shared" si="0"/>
        <v>0</v>
      </c>
      <c r="I31" s="68">
        <f>IFERROR(F31*'As-Filed Schedule 1'!$E$103,0)</f>
        <v>0</v>
      </c>
      <c r="J31" s="310">
        <f>IFERROR(H31*'Adjusted Schedule 1'!$E$104,0)</f>
        <v>0</v>
      </c>
      <c r="K31" s="68">
        <f t="shared" si="1"/>
        <v>0</v>
      </c>
      <c r="L31" s="310">
        <f t="shared" si="2"/>
        <v>0</v>
      </c>
      <c r="N31" s="117">
        <f>'As-Filed Schedule 2F'!J31</f>
        <v>0</v>
      </c>
      <c r="O31" s="313">
        <f>SUMIFS(Adjustments!$G:$G,Adjustments!$H:$H,"2F",Adjustments!$I:$I,'Schedule 2F Adjustments'!$N$12,Adjustments!$J:$J,'Schedule 2F Adjustments'!$A31)</f>
        <v>0</v>
      </c>
      <c r="P31" s="309">
        <f t="shared" si="3"/>
        <v>0</v>
      </c>
      <c r="Q31" s="68">
        <f>IFERROR(N31*'As-Filed Schedule 1'!$E$103,0)</f>
        <v>0</v>
      </c>
      <c r="R31" s="68">
        <f>IFERROR(P31*'Adjusted Schedule 1'!$E$104,0)</f>
        <v>0</v>
      </c>
      <c r="S31" s="68">
        <f t="shared" si="4"/>
        <v>0</v>
      </c>
      <c r="T31" s="310">
        <f t="shared" si="5"/>
        <v>0</v>
      </c>
      <c r="V31" s="120">
        <f>'As-Filed Schedule 2F'!N31</f>
        <v>0</v>
      </c>
      <c r="W31" s="313">
        <f>SUMIFS(Adjustments!$G:$G,Adjustments!$H:$H,"2F",Adjustments!$I:$I,'Schedule 2F Adjustments'!$V$12,Adjustments!$J:$J,'Schedule 2F Adjustments'!$A31)</f>
        <v>0</v>
      </c>
      <c r="X31" s="309">
        <f t="shared" si="6"/>
        <v>0</v>
      </c>
      <c r="Y31" s="120">
        <f>'As-Filed Schedule 2F'!O31</f>
        <v>0</v>
      </c>
      <c r="Z31" s="313">
        <f>SUMIFS(Adjustments!$G:$G,Adjustments!$H:$H,"2F",Adjustments!$I:$I,'Schedule 2F Adjustments'!$Y$12,Adjustments!$J:$J,'Schedule 2F Adjustments'!$A31)</f>
        <v>0</v>
      </c>
      <c r="AA31" s="309">
        <f t="shared" si="7"/>
        <v>0</v>
      </c>
    </row>
    <row r="32" spans="1:27" x14ac:dyDescent="0.35">
      <c r="A32" s="24">
        <v>18</v>
      </c>
      <c r="B32" s="507" t="str">
        <f>IF('As-Filed Schedule 2F'!B32:D32=0,"",'As-Filed Schedule 2F'!B32:D32)</f>
        <v/>
      </c>
      <c r="C32" s="507"/>
      <c r="D32" s="507"/>
      <c r="F32" s="117">
        <f>'As-Filed Schedule 2F'!F32</f>
        <v>0</v>
      </c>
      <c r="G32" s="313">
        <f>SUMIFS(Adjustments!$G:$G,Adjustments!$H:$H,"2F",Adjustments!$I:$I,'Schedule 2F Adjustments'!$F$12,Adjustments!$J:$J,'Schedule 2F Adjustments'!$A32)</f>
        <v>0</v>
      </c>
      <c r="H32" s="309">
        <f t="shared" si="0"/>
        <v>0</v>
      </c>
      <c r="I32" s="68">
        <f>IFERROR(F32*'As-Filed Schedule 1'!$E$103,0)</f>
        <v>0</v>
      </c>
      <c r="J32" s="310">
        <f>IFERROR(H32*'Adjusted Schedule 1'!$E$104,0)</f>
        <v>0</v>
      </c>
      <c r="K32" s="68">
        <f t="shared" si="1"/>
        <v>0</v>
      </c>
      <c r="L32" s="310">
        <f t="shared" si="2"/>
        <v>0</v>
      </c>
      <c r="N32" s="117">
        <f>'As-Filed Schedule 2F'!J32</f>
        <v>0</v>
      </c>
      <c r="O32" s="313">
        <f>SUMIFS(Adjustments!$G:$G,Adjustments!$H:$H,"2F",Adjustments!$I:$I,'Schedule 2F Adjustments'!$N$12,Adjustments!$J:$J,'Schedule 2F Adjustments'!$A32)</f>
        <v>0</v>
      </c>
      <c r="P32" s="309">
        <f t="shared" si="3"/>
        <v>0</v>
      </c>
      <c r="Q32" s="68">
        <f>IFERROR(N32*'As-Filed Schedule 1'!$E$103,0)</f>
        <v>0</v>
      </c>
      <c r="R32" s="68">
        <f>IFERROR(P32*'Adjusted Schedule 1'!$E$104,0)</f>
        <v>0</v>
      </c>
      <c r="S32" s="68">
        <f t="shared" si="4"/>
        <v>0</v>
      </c>
      <c r="T32" s="310">
        <f t="shared" si="5"/>
        <v>0</v>
      </c>
      <c r="V32" s="120">
        <f>'As-Filed Schedule 2F'!N32</f>
        <v>0</v>
      </c>
      <c r="W32" s="313">
        <f>SUMIFS(Adjustments!$G:$G,Adjustments!$H:$H,"2F",Adjustments!$I:$I,'Schedule 2F Adjustments'!$V$12,Adjustments!$J:$J,'Schedule 2F Adjustments'!$A32)</f>
        <v>0</v>
      </c>
      <c r="X32" s="309">
        <f t="shared" si="6"/>
        <v>0</v>
      </c>
      <c r="Y32" s="120">
        <f>'As-Filed Schedule 2F'!O32</f>
        <v>0</v>
      </c>
      <c r="Z32" s="313">
        <f>SUMIFS(Adjustments!$G:$G,Adjustments!$H:$H,"2F",Adjustments!$I:$I,'Schedule 2F Adjustments'!$Y$12,Adjustments!$J:$J,'Schedule 2F Adjustments'!$A32)</f>
        <v>0</v>
      </c>
      <c r="AA32" s="309">
        <f t="shared" si="7"/>
        <v>0</v>
      </c>
    </row>
    <row r="33" spans="1:27" x14ac:dyDescent="0.35">
      <c r="A33" s="24">
        <v>19</v>
      </c>
      <c r="B33" s="507" t="str">
        <f>IF('As-Filed Schedule 2F'!B33:D33=0,"",'As-Filed Schedule 2F'!B33:D33)</f>
        <v/>
      </c>
      <c r="C33" s="507"/>
      <c r="D33" s="507"/>
      <c r="F33" s="117">
        <f>'As-Filed Schedule 2F'!F33</f>
        <v>0</v>
      </c>
      <c r="G33" s="313">
        <f>SUMIFS(Adjustments!$G:$G,Adjustments!$H:$H,"2F",Adjustments!$I:$I,'Schedule 2F Adjustments'!$F$12,Adjustments!$J:$J,'Schedule 2F Adjustments'!$A33)</f>
        <v>0</v>
      </c>
      <c r="H33" s="309">
        <f t="shared" si="0"/>
        <v>0</v>
      </c>
      <c r="I33" s="68">
        <f>IFERROR(F33*'As-Filed Schedule 1'!$E$103,0)</f>
        <v>0</v>
      </c>
      <c r="J33" s="310">
        <f>IFERROR(H33*'Adjusted Schedule 1'!$E$104,0)</f>
        <v>0</v>
      </c>
      <c r="K33" s="68">
        <f t="shared" si="1"/>
        <v>0</v>
      </c>
      <c r="L33" s="310">
        <f t="shared" si="2"/>
        <v>0</v>
      </c>
      <c r="N33" s="117">
        <f>'As-Filed Schedule 2F'!J33</f>
        <v>0</v>
      </c>
      <c r="O33" s="313">
        <f>SUMIFS(Adjustments!$G:$G,Adjustments!$H:$H,"2F",Adjustments!$I:$I,'Schedule 2F Adjustments'!$N$12,Adjustments!$J:$J,'Schedule 2F Adjustments'!$A33)</f>
        <v>0</v>
      </c>
      <c r="P33" s="309">
        <f t="shared" si="3"/>
        <v>0</v>
      </c>
      <c r="Q33" s="68">
        <f>IFERROR(N33*'As-Filed Schedule 1'!$E$103,0)</f>
        <v>0</v>
      </c>
      <c r="R33" s="68">
        <f>IFERROR(P33*'Adjusted Schedule 1'!$E$104,0)</f>
        <v>0</v>
      </c>
      <c r="S33" s="68">
        <f t="shared" si="4"/>
        <v>0</v>
      </c>
      <c r="T33" s="310">
        <f t="shared" si="5"/>
        <v>0</v>
      </c>
      <c r="V33" s="120">
        <f>'As-Filed Schedule 2F'!N33</f>
        <v>0</v>
      </c>
      <c r="W33" s="313">
        <f>SUMIFS(Adjustments!$G:$G,Adjustments!$H:$H,"2F",Adjustments!$I:$I,'Schedule 2F Adjustments'!$V$12,Adjustments!$J:$J,'Schedule 2F Adjustments'!$A33)</f>
        <v>0</v>
      </c>
      <c r="X33" s="309">
        <f t="shared" si="6"/>
        <v>0</v>
      </c>
      <c r="Y33" s="120">
        <f>'As-Filed Schedule 2F'!O33</f>
        <v>0</v>
      </c>
      <c r="Z33" s="313">
        <f>SUMIFS(Adjustments!$G:$G,Adjustments!$H:$H,"2F",Adjustments!$I:$I,'Schedule 2F Adjustments'!$Y$12,Adjustments!$J:$J,'Schedule 2F Adjustments'!$A33)</f>
        <v>0</v>
      </c>
      <c r="AA33" s="309">
        <f t="shared" si="7"/>
        <v>0</v>
      </c>
    </row>
    <row r="34" spans="1:27" x14ac:dyDescent="0.35">
      <c r="A34" s="24">
        <v>20</v>
      </c>
      <c r="B34" s="507" t="str">
        <f>IF('As-Filed Schedule 2F'!B34:D34=0,"",'As-Filed Schedule 2F'!B34:D34)</f>
        <v/>
      </c>
      <c r="C34" s="507"/>
      <c r="D34" s="507"/>
      <c r="F34" s="117">
        <f>'As-Filed Schedule 2F'!F34</f>
        <v>0</v>
      </c>
      <c r="G34" s="313">
        <f>SUMIFS(Adjustments!$G:$G,Adjustments!$H:$H,"2F",Adjustments!$I:$I,'Schedule 2F Adjustments'!$F$12,Adjustments!$J:$J,'Schedule 2F Adjustments'!$A34)</f>
        <v>0</v>
      </c>
      <c r="H34" s="309">
        <f t="shared" si="0"/>
        <v>0</v>
      </c>
      <c r="I34" s="68">
        <f>IFERROR(F34*'As-Filed Schedule 1'!$E$103,0)</f>
        <v>0</v>
      </c>
      <c r="J34" s="310">
        <f>IFERROR(H34*'Adjusted Schedule 1'!$E$104,0)</f>
        <v>0</v>
      </c>
      <c r="K34" s="68">
        <f t="shared" si="1"/>
        <v>0</v>
      </c>
      <c r="L34" s="310">
        <f t="shared" si="2"/>
        <v>0</v>
      </c>
      <c r="N34" s="117">
        <f>'As-Filed Schedule 2F'!J34</f>
        <v>0</v>
      </c>
      <c r="O34" s="313">
        <f>SUMIFS(Adjustments!$G:$G,Adjustments!$H:$H,"2F",Adjustments!$I:$I,'Schedule 2F Adjustments'!$N$12,Adjustments!$J:$J,'Schedule 2F Adjustments'!$A34)</f>
        <v>0</v>
      </c>
      <c r="P34" s="309">
        <f t="shared" si="3"/>
        <v>0</v>
      </c>
      <c r="Q34" s="68">
        <f>IFERROR(N34*'As-Filed Schedule 1'!$E$103,0)</f>
        <v>0</v>
      </c>
      <c r="R34" s="68">
        <f>IFERROR(P34*'Adjusted Schedule 1'!$E$104,0)</f>
        <v>0</v>
      </c>
      <c r="S34" s="68">
        <f t="shared" si="4"/>
        <v>0</v>
      </c>
      <c r="T34" s="310">
        <f t="shared" si="5"/>
        <v>0</v>
      </c>
      <c r="V34" s="120">
        <f>'As-Filed Schedule 2F'!N34</f>
        <v>0</v>
      </c>
      <c r="W34" s="313">
        <f>SUMIFS(Adjustments!$G:$G,Adjustments!$H:$H,"2F",Adjustments!$I:$I,'Schedule 2F Adjustments'!$V$12,Adjustments!$J:$J,'Schedule 2F Adjustments'!$A34)</f>
        <v>0</v>
      </c>
      <c r="X34" s="309">
        <f t="shared" si="6"/>
        <v>0</v>
      </c>
      <c r="Y34" s="120">
        <f>'As-Filed Schedule 2F'!O34</f>
        <v>0</v>
      </c>
      <c r="Z34" s="313">
        <f>SUMIFS(Adjustments!$G:$G,Adjustments!$H:$H,"2F",Adjustments!$I:$I,'Schedule 2F Adjustments'!$Y$12,Adjustments!$J:$J,'Schedule 2F Adjustments'!$A34)</f>
        <v>0</v>
      </c>
      <c r="AA34" s="309">
        <f t="shared" si="7"/>
        <v>0</v>
      </c>
    </row>
    <row r="35" spans="1:27" x14ac:dyDescent="0.35">
      <c r="A35" s="24">
        <v>21</v>
      </c>
      <c r="B35" s="507" t="str">
        <f>IF('As-Filed Schedule 2F'!B35:D35=0,"",'As-Filed Schedule 2F'!B35:D35)</f>
        <v/>
      </c>
      <c r="C35" s="507"/>
      <c r="D35" s="507"/>
      <c r="F35" s="117">
        <f>'As-Filed Schedule 2F'!F35</f>
        <v>0</v>
      </c>
      <c r="G35" s="313">
        <f>SUMIFS(Adjustments!$G:$G,Adjustments!$H:$H,"2F",Adjustments!$I:$I,'Schedule 2F Adjustments'!$F$12,Adjustments!$J:$J,'Schedule 2F Adjustments'!$A35)</f>
        <v>0</v>
      </c>
      <c r="H35" s="309">
        <f t="shared" si="0"/>
        <v>0</v>
      </c>
      <c r="I35" s="68">
        <f>IFERROR(F35*'As-Filed Schedule 1'!$E$103,0)</f>
        <v>0</v>
      </c>
      <c r="J35" s="310">
        <f>IFERROR(H35*'Adjusted Schedule 1'!$E$104,0)</f>
        <v>0</v>
      </c>
      <c r="K35" s="68">
        <f t="shared" si="1"/>
        <v>0</v>
      </c>
      <c r="L35" s="310">
        <f t="shared" si="2"/>
        <v>0</v>
      </c>
      <c r="N35" s="117">
        <f>'As-Filed Schedule 2F'!J35</f>
        <v>0</v>
      </c>
      <c r="O35" s="313">
        <f>SUMIFS(Adjustments!$G:$G,Adjustments!$H:$H,"2F",Adjustments!$I:$I,'Schedule 2F Adjustments'!$N$12,Adjustments!$J:$J,'Schedule 2F Adjustments'!$A35)</f>
        <v>0</v>
      </c>
      <c r="P35" s="309">
        <f t="shared" si="3"/>
        <v>0</v>
      </c>
      <c r="Q35" s="68">
        <f>IFERROR(N35*'As-Filed Schedule 1'!$E$103,0)</f>
        <v>0</v>
      </c>
      <c r="R35" s="68">
        <f>IFERROR(P35*'Adjusted Schedule 1'!$E$104,0)</f>
        <v>0</v>
      </c>
      <c r="S35" s="68">
        <f t="shared" si="4"/>
        <v>0</v>
      </c>
      <c r="T35" s="310">
        <f t="shared" si="5"/>
        <v>0</v>
      </c>
      <c r="V35" s="120">
        <f>'As-Filed Schedule 2F'!N35</f>
        <v>0</v>
      </c>
      <c r="W35" s="313">
        <f>SUMIFS(Adjustments!$G:$G,Adjustments!$H:$H,"2F",Adjustments!$I:$I,'Schedule 2F Adjustments'!$V$12,Adjustments!$J:$J,'Schedule 2F Adjustments'!$A35)</f>
        <v>0</v>
      </c>
      <c r="X35" s="309">
        <f t="shared" si="6"/>
        <v>0</v>
      </c>
      <c r="Y35" s="120">
        <f>'As-Filed Schedule 2F'!O35</f>
        <v>0</v>
      </c>
      <c r="Z35" s="313">
        <f>SUMIFS(Adjustments!$G:$G,Adjustments!$H:$H,"2F",Adjustments!$I:$I,'Schedule 2F Adjustments'!$Y$12,Adjustments!$J:$J,'Schedule 2F Adjustments'!$A35)</f>
        <v>0</v>
      </c>
      <c r="AA35" s="309">
        <f t="shared" si="7"/>
        <v>0</v>
      </c>
    </row>
    <row r="36" spans="1:27" x14ac:dyDescent="0.35">
      <c r="A36" s="24">
        <v>22</v>
      </c>
      <c r="B36" s="507" t="str">
        <f>IF('As-Filed Schedule 2F'!B36:D36=0,"",'As-Filed Schedule 2F'!B36:D36)</f>
        <v/>
      </c>
      <c r="C36" s="507"/>
      <c r="D36" s="507"/>
      <c r="F36" s="117">
        <f>'As-Filed Schedule 2F'!F36</f>
        <v>0</v>
      </c>
      <c r="G36" s="313">
        <f>SUMIFS(Adjustments!$G:$G,Adjustments!$H:$H,"2F",Adjustments!$I:$I,'Schedule 2F Adjustments'!$F$12,Adjustments!$J:$J,'Schedule 2F Adjustments'!$A36)</f>
        <v>0</v>
      </c>
      <c r="H36" s="309">
        <f t="shared" si="0"/>
        <v>0</v>
      </c>
      <c r="I36" s="68">
        <f>IFERROR(F36*'As-Filed Schedule 1'!$E$103,0)</f>
        <v>0</v>
      </c>
      <c r="J36" s="310">
        <f>IFERROR(H36*'Adjusted Schedule 1'!$E$104,0)</f>
        <v>0</v>
      </c>
      <c r="K36" s="68">
        <f t="shared" si="1"/>
        <v>0</v>
      </c>
      <c r="L36" s="310">
        <f t="shared" si="2"/>
        <v>0</v>
      </c>
      <c r="N36" s="117">
        <f>'As-Filed Schedule 2F'!J36</f>
        <v>0</v>
      </c>
      <c r="O36" s="313">
        <f>SUMIFS(Adjustments!$G:$G,Adjustments!$H:$H,"2F",Adjustments!$I:$I,'Schedule 2F Adjustments'!$N$12,Adjustments!$J:$J,'Schedule 2F Adjustments'!$A36)</f>
        <v>0</v>
      </c>
      <c r="P36" s="309">
        <f t="shared" si="3"/>
        <v>0</v>
      </c>
      <c r="Q36" s="68">
        <f>IFERROR(N36*'As-Filed Schedule 1'!$E$103,0)</f>
        <v>0</v>
      </c>
      <c r="R36" s="68">
        <f>IFERROR(P36*'Adjusted Schedule 1'!$E$104,0)</f>
        <v>0</v>
      </c>
      <c r="S36" s="68">
        <f t="shared" si="4"/>
        <v>0</v>
      </c>
      <c r="T36" s="310">
        <f t="shared" si="5"/>
        <v>0</v>
      </c>
      <c r="V36" s="120">
        <f>'As-Filed Schedule 2F'!N36</f>
        <v>0</v>
      </c>
      <c r="W36" s="313">
        <f>SUMIFS(Adjustments!$G:$G,Adjustments!$H:$H,"2F",Adjustments!$I:$I,'Schedule 2F Adjustments'!$V$12,Adjustments!$J:$J,'Schedule 2F Adjustments'!$A36)</f>
        <v>0</v>
      </c>
      <c r="X36" s="309">
        <f t="shared" si="6"/>
        <v>0</v>
      </c>
      <c r="Y36" s="120">
        <f>'As-Filed Schedule 2F'!O36</f>
        <v>0</v>
      </c>
      <c r="Z36" s="313">
        <f>SUMIFS(Adjustments!$G:$G,Adjustments!$H:$H,"2F",Adjustments!$I:$I,'Schedule 2F Adjustments'!$Y$12,Adjustments!$J:$J,'Schedule 2F Adjustments'!$A36)</f>
        <v>0</v>
      </c>
      <c r="AA36" s="309">
        <f t="shared" si="7"/>
        <v>0</v>
      </c>
    </row>
    <row r="37" spans="1:27" x14ac:dyDescent="0.35">
      <c r="A37" s="24">
        <v>23</v>
      </c>
      <c r="B37" s="507" t="str">
        <f>IF('As-Filed Schedule 2F'!B37:D37=0,"",'As-Filed Schedule 2F'!B37:D37)</f>
        <v/>
      </c>
      <c r="C37" s="507"/>
      <c r="D37" s="507"/>
      <c r="F37" s="117">
        <f>'As-Filed Schedule 2F'!F37</f>
        <v>0</v>
      </c>
      <c r="G37" s="313">
        <f>SUMIFS(Adjustments!$G:$G,Adjustments!$H:$H,"2F",Adjustments!$I:$I,'Schedule 2F Adjustments'!$F$12,Adjustments!$J:$J,'Schedule 2F Adjustments'!$A37)</f>
        <v>0</v>
      </c>
      <c r="H37" s="309">
        <f t="shared" si="0"/>
        <v>0</v>
      </c>
      <c r="I37" s="68">
        <f>IFERROR(F37*'As-Filed Schedule 1'!$E$103,0)</f>
        <v>0</v>
      </c>
      <c r="J37" s="310">
        <f>IFERROR(H37*'Adjusted Schedule 1'!$E$104,0)</f>
        <v>0</v>
      </c>
      <c r="K37" s="68">
        <f t="shared" si="1"/>
        <v>0</v>
      </c>
      <c r="L37" s="310">
        <f t="shared" si="2"/>
        <v>0</v>
      </c>
      <c r="N37" s="117">
        <f>'As-Filed Schedule 2F'!J37</f>
        <v>0</v>
      </c>
      <c r="O37" s="313">
        <f>SUMIFS(Adjustments!$G:$G,Adjustments!$H:$H,"2F",Adjustments!$I:$I,'Schedule 2F Adjustments'!$N$12,Adjustments!$J:$J,'Schedule 2F Adjustments'!$A37)</f>
        <v>0</v>
      </c>
      <c r="P37" s="309">
        <f t="shared" si="3"/>
        <v>0</v>
      </c>
      <c r="Q37" s="68">
        <f>IFERROR(N37*'As-Filed Schedule 1'!$E$103,0)</f>
        <v>0</v>
      </c>
      <c r="R37" s="68">
        <f>IFERROR(P37*'Adjusted Schedule 1'!$E$104,0)</f>
        <v>0</v>
      </c>
      <c r="S37" s="68">
        <f t="shared" si="4"/>
        <v>0</v>
      </c>
      <c r="T37" s="310">
        <f t="shared" si="5"/>
        <v>0</v>
      </c>
      <c r="V37" s="120">
        <f>'As-Filed Schedule 2F'!N37</f>
        <v>0</v>
      </c>
      <c r="W37" s="313">
        <f>SUMIFS(Adjustments!$G:$G,Adjustments!$H:$H,"2F",Adjustments!$I:$I,'Schedule 2F Adjustments'!$V$12,Adjustments!$J:$J,'Schedule 2F Adjustments'!$A37)</f>
        <v>0</v>
      </c>
      <c r="X37" s="309">
        <f t="shared" si="6"/>
        <v>0</v>
      </c>
      <c r="Y37" s="120">
        <f>'As-Filed Schedule 2F'!O37</f>
        <v>0</v>
      </c>
      <c r="Z37" s="313">
        <f>SUMIFS(Adjustments!$G:$G,Adjustments!$H:$H,"2F",Adjustments!$I:$I,'Schedule 2F Adjustments'!$Y$12,Adjustments!$J:$J,'Schedule 2F Adjustments'!$A37)</f>
        <v>0</v>
      </c>
      <c r="AA37" s="309">
        <f t="shared" si="7"/>
        <v>0</v>
      </c>
    </row>
    <row r="38" spans="1:27" x14ac:dyDescent="0.35">
      <c r="A38" s="24">
        <v>24</v>
      </c>
      <c r="B38" s="507" t="str">
        <f>IF('As-Filed Schedule 2F'!B38:D38=0,"",'As-Filed Schedule 2F'!B38:D38)</f>
        <v/>
      </c>
      <c r="C38" s="507"/>
      <c r="D38" s="507"/>
      <c r="F38" s="117">
        <f>'As-Filed Schedule 2F'!F38</f>
        <v>0</v>
      </c>
      <c r="G38" s="313">
        <f>SUMIFS(Adjustments!$G:$G,Adjustments!$H:$H,"2F",Adjustments!$I:$I,'Schedule 2F Adjustments'!$F$12,Adjustments!$J:$J,'Schedule 2F Adjustments'!$A38)</f>
        <v>0</v>
      </c>
      <c r="H38" s="309">
        <f t="shared" si="0"/>
        <v>0</v>
      </c>
      <c r="I38" s="68">
        <f>IFERROR(F38*'As-Filed Schedule 1'!$E$103,0)</f>
        <v>0</v>
      </c>
      <c r="J38" s="310">
        <f>IFERROR(H38*'Adjusted Schedule 1'!$E$104,0)</f>
        <v>0</v>
      </c>
      <c r="K38" s="68">
        <f t="shared" si="1"/>
        <v>0</v>
      </c>
      <c r="L38" s="310">
        <f t="shared" si="2"/>
        <v>0</v>
      </c>
      <c r="N38" s="117">
        <f>'As-Filed Schedule 2F'!J38</f>
        <v>0</v>
      </c>
      <c r="O38" s="313">
        <f>SUMIFS(Adjustments!$G:$G,Adjustments!$H:$H,"2F",Adjustments!$I:$I,'Schedule 2F Adjustments'!$N$12,Adjustments!$J:$J,'Schedule 2F Adjustments'!$A38)</f>
        <v>0</v>
      </c>
      <c r="P38" s="309">
        <f t="shared" si="3"/>
        <v>0</v>
      </c>
      <c r="Q38" s="68">
        <f>IFERROR(N38*'As-Filed Schedule 1'!$E$103,0)</f>
        <v>0</v>
      </c>
      <c r="R38" s="68">
        <f>IFERROR(P38*'Adjusted Schedule 1'!$E$104,0)</f>
        <v>0</v>
      </c>
      <c r="S38" s="68">
        <f t="shared" si="4"/>
        <v>0</v>
      </c>
      <c r="T38" s="310">
        <f t="shared" si="5"/>
        <v>0</v>
      </c>
      <c r="V38" s="120">
        <f>'As-Filed Schedule 2F'!N38</f>
        <v>0</v>
      </c>
      <c r="W38" s="313">
        <f>SUMIFS(Adjustments!$G:$G,Adjustments!$H:$H,"2F",Adjustments!$I:$I,'Schedule 2F Adjustments'!$V$12,Adjustments!$J:$J,'Schedule 2F Adjustments'!$A38)</f>
        <v>0</v>
      </c>
      <c r="X38" s="309">
        <f t="shared" si="6"/>
        <v>0</v>
      </c>
      <c r="Y38" s="120">
        <f>'As-Filed Schedule 2F'!O38</f>
        <v>0</v>
      </c>
      <c r="Z38" s="313">
        <f>SUMIFS(Adjustments!$G:$G,Adjustments!$H:$H,"2F",Adjustments!$I:$I,'Schedule 2F Adjustments'!$Y$12,Adjustments!$J:$J,'Schedule 2F Adjustments'!$A38)</f>
        <v>0</v>
      </c>
      <c r="AA38" s="309">
        <f t="shared" si="7"/>
        <v>0</v>
      </c>
    </row>
    <row r="39" spans="1:27" x14ac:dyDescent="0.35">
      <c r="A39" s="24">
        <v>25</v>
      </c>
      <c r="B39" s="507" t="str">
        <f>IF('As-Filed Schedule 2F'!B39:D39=0,"",'As-Filed Schedule 2F'!B39:D39)</f>
        <v/>
      </c>
      <c r="C39" s="507"/>
      <c r="D39" s="507"/>
      <c r="F39" s="117">
        <f>'As-Filed Schedule 2F'!F39</f>
        <v>0</v>
      </c>
      <c r="G39" s="313">
        <f>SUMIFS(Adjustments!$G:$G,Adjustments!$H:$H,"2F",Adjustments!$I:$I,'Schedule 2F Adjustments'!$F$12,Adjustments!$J:$J,'Schedule 2F Adjustments'!$A39)</f>
        <v>0</v>
      </c>
      <c r="H39" s="309">
        <f t="shared" si="0"/>
        <v>0</v>
      </c>
      <c r="I39" s="68">
        <f>IFERROR(F39*'As-Filed Schedule 1'!$E$103,0)</f>
        <v>0</v>
      </c>
      <c r="J39" s="310">
        <f>IFERROR(H39*'Adjusted Schedule 1'!$E$104,0)</f>
        <v>0</v>
      </c>
      <c r="K39" s="68">
        <f t="shared" si="1"/>
        <v>0</v>
      </c>
      <c r="L39" s="310">
        <f t="shared" si="2"/>
        <v>0</v>
      </c>
      <c r="N39" s="117">
        <f>'As-Filed Schedule 2F'!J39</f>
        <v>0</v>
      </c>
      <c r="O39" s="313">
        <f>SUMIFS(Adjustments!$G:$G,Adjustments!$H:$H,"2F",Adjustments!$I:$I,'Schedule 2F Adjustments'!$N$12,Adjustments!$J:$J,'Schedule 2F Adjustments'!$A39)</f>
        <v>0</v>
      </c>
      <c r="P39" s="309">
        <f t="shared" si="3"/>
        <v>0</v>
      </c>
      <c r="Q39" s="68">
        <f>IFERROR(N39*'As-Filed Schedule 1'!$E$103,0)</f>
        <v>0</v>
      </c>
      <c r="R39" s="68">
        <f>IFERROR(P39*'Adjusted Schedule 1'!$E$104,0)</f>
        <v>0</v>
      </c>
      <c r="S39" s="68">
        <f t="shared" si="4"/>
        <v>0</v>
      </c>
      <c r="T39" s="310">
        <f t="shared" si="5"/>
        <v>0</v>
      </c>
      <c r="V39" s="120">
        <f>'As-Filed Schedule 2F'!N39</f>
        <v>0</v>
      </c>
      <c r="W39" s="313">
        <f>SUMIFS(Adjustments!$G:$G,Adjustments!$H:$H,"2F",Adjustments!$I:$I,'Schedule 2F Adjustments'!$V$12,Adjustments!$J:$J,'Schedule 2F Adjustments'!$A39)</f>
        <v>0</v>
      </c>
      <c r="X39" s="309">
        <f t="shared" si="6"/>
        <v>0</v>
      </c>
      <c r="Y39" s="120">
        <f>'As-Filed Schedule 2F'!O39</f>
        <v>0</v>
      </c>
      <c r="Z39" s="313">
        <f>SUMIFS(Adjustments!$G:$G,Adjustments!$H:$H,"2F",Adjustments!$I:$I,'Schedule 2F Adjustments'!$Y$12,Adjustments!$J:$J,'Schedule 2F Adjustments'!$A39)</f>
        <v>0</v>
      </c>
      <c r="AA39" s="309">
        <f t="shared" si="7"/>
        <v>0</v>
      </c>
    </row>
    <row r="40" spans="1:27" x14ac:dyDescent="0.35">
      <c r="A40" s="24">
        <v>26</v>
      </c>
      <c r="B40" s="507" t="str">
        <f>IF('As-Filed Schedule 2F'!B40:D40=0,"",'As-Filed Schedule 2F'!B40:D40)</f>
        <v/>
      </c>
      <c r="C40" s="507"/>
      <c r="D40" s="507"/>
      <c r="F40" s="117">
        <f>'As-Filed Schedule 2F'!F40</f>
        <v>0</v>
      </c>
      <c r="G40" s="313">
        <f>SUMIFS(Adjustments!$G:$G,Adjustments!$H:$H,"2F",Adjustments!$I:$I,'Schedule 2F Adjustments'!$F$12,Adjustments!$J:$J,'Schedule 2F Adjustments'!$A40)</f>
        <v>0</v>
      </c>
      <c r="H40" s="309">
        <f t="shared" si="0"/>
        <v>0</v>
      </c>
      <c r="I40" s="68">
        <f>IFERROR(F40*'As-Filed Schedule 1'!$E$103,0)</f>
        <v>0</v>
      </c>
      <c r="J40" s="310">
        <f>IFERROR(H40*'Adjusted Schedule 1'!$E$104,0)</f>
        <v>0</v>
      </c>
      <c r="K40" s="68">
        <f t="shared" si="1"/>
        <v>0</v>
      </c>
      <c r="L40" s="310">
        <f t="shared" si="2"/>
        <v>0</v>
      </c>
      <c r="N40" s="117">
        <f>'As-Filed Schedule 2F'!J40</f>
        <v>0</v>
      </c>
      <c r="O40" s="313">
        <f>SUMIFS(Adjustments!$G:$G,Adjustments!$H:$H,"2F",Adjustments!$I:$I,'Schedule 2F Adjustments'!$N$12,Adjustments!$J:$J,'Schedule 2F Adjustments'!$A40)</f>
        <v>0</v>
      </c>
      <c r="P40" s="309">
        <f t="shared" si="3"/>
        <v>0</v>
      </c>
      <c r="Q40" s="68">
        <f>IFERROR(N40*'As-Filed Schedule 1'!$E$103,0)</f>
        <v>0</v>
      </c>
      <c r="R40" s="68">
        <f>IFERROR(P40*'Adjusted Schedule 1'!$E$104,0)</f>
        <v>0</v>
      </c>
      <c r="S40" s="68">
        <f t="shared" si="4"/>
        <v>0</v>
      </c>
      <c r="T40" s="310">
        <f t="shared" si="5"/>
        <v>0</v>
      </c>
      <c r="V40" s="120">
        <f>'As-Filed Schedule 2F'!N40</f>
        <v>0</v>
      </c>
      <c r="W40" s="313">
        <f>SUMIFS(Adjustments!$G:$G,Adjustments!$H:$H,"2F",Adjustments!$I:$I,'Schedule 2F Adjustments'!$V$12,Adjustments!$J:$J,'Schedule 2F Adjustments'!$A40)</f>
        <v>0</v>
      </c>
      <c r="X40" s="309">
        <f t="shared" si="6"/>
        <v>0</v>
      </c>
      <c r="Y40" s="120">
        <f>'As-Filed Schedule 2F'!O40</f>
        <v>0</v>
      </c>
      <c r="Z40" s="313">
        <f>SUMIFS(Adjustments!$G:$G,Adjustments!$H:$H,"2F",Adjustments!$I:$I,'Schedule 2F Adjustments'!$Y$12,Adjustments!$J:$J,'Schedule 2F Adjustments'!$A40)</f>
        <v>0</v>
      </c>
      <c r="AA40" s="309">
        <f t="shared" si="7"/>
        <v>0</v>
      </c>
    </row>
    <row r="41" spans="1:27" x14ac:dyDescent="0.35">
      <c r="A41" s="24">
        <v>27</v>
      </c>
      <c r="B41" s="507" t="str">
        <f>IF('As-Filed Schedule 2F'!B41:D41=0,"",'As-Filed Schedule 2F'!B41:D41)</f>
        <v/>
      </c>
      <c r="C41" s="507"/>
      <c r="D41" s="507"/>
      <c r="F41" s="117">
        <f>'As-Filed Schedule 2F'!F41</f>
        <v>0</v>
      </c>
      <c r="G41" s="313">
        <f>SUMIFS(Adjustments!$G:$G,Adjustments!$H:$H,"2F",Adjustments!$I:$I,'Schedule 2F Adjustments'!$F$12,Adjustments!$J:$J,'Schedule 2F Adjustments'!$A41)</f>
        <v>0</v>
      </c>
      <c r="H41" s="309">
        <f t="shared" si="0"/>
        <v>0</v>
      </c>
      <c r="I41" s="68">
        <f>IFERROR(F41*'As-Filed Schedule 1'!$E$103,0)</f>
        <v>0</v>
      </c>
      <c r="J41" s="310">
        <f>IFERROR(H41*'Adjusted Schedule 1'!$E$104,0)</f>
        <v>0</v>
      </c>
      <c r="K41" s="68">
        <f t="shared" si="1"/>
        <v>0</v>
      </c>
      <c r="L41" s="310">
        <f t="shared" si="2"/>
        <v>0</v>
      </c>
      <c r="N41" s="117">
        <f>'As-Filed Schedule 2F'!J41</f>
        <v>0</v>
      </c>
      <c r="O41" s="313">
        <f>SUMIFS(Adjustments!$G:$G,Adjustments!$H:$H,"2F",Adjustments!$I:$I,'Schedule 2F Adjustments'!$N$12,Adjustments!$J:$J,'Schedule 2F Adjustments'!$A41)</f>
        <v>0</v>
      </c>
      <c r="P41" s="309">
        <f t="shared" si="3"/>
        <v>0</v>
      </c>
      <c r="Q41" s="68">
        <f>IFERROR(N41*'As-Filed Schedule 1'!$E$103,0)</f>
        <v>0</v>
      </c>
      <c r="R41" s="68">
        <f>IFERROR(P41*'Adjusted Schedule 1'!$E$104,0)</f>
        <v>0</v>
      </c>
      <c r="S41" s="68">
        <f t="shared" si="4"/>
        <v>0</v>
      </c>
      <c r="T41" s="310">
        <f t="shared" si="5"/>
        <v>0</v>
      </c>
      <c r="V41" s="120">
        <f>'As-Filed Schedule 2F'!N41</f>
        <v>0</v>
      </c>
      <c r="W41" s="313">
        <f>SUMIFS(Adjustments!$G:$G,Adjustments!$H:$H,"2F",Adjustments!$I:$I,'Schedule 2F Adjustments'!$V$12,Adjustments!$J:$J,'Schedule 2F Adjustments'!$A41)</f>
        <v>0</v>
      </c>
      <c r="X41" s="309">
        <f t="shared" si="6"/>
        <v>0</v>
      </c>
      <c r="Y41" s="120">
        <f>'As-Filed Schedule 2F'!O41</f>
        <v>0</v>
      </c>
      <c r="Z41" s="313">
        <f>SUMIFS(Adjustments!$G:$G,Adjustments!$H:$H,"2F",Adjustments!$I:$I,'Schedule 2F Adjustments'!$Y$12,Adjustments!$J:$J,'Schedule 2F Adjustments'!$A41)</f>
        <v>0</v>
      </c>
      <c r="AA41" s="309">
        <f t="shared" si="7"/>
        <v>0</v>
      </c>
    </row>
    <row r="42" spans="1:27" x14ac:dyDescent="0.35">
      <c r="A42" s="24">
        <v>28</v>
      </c>
      <c r="B42" s="507" t="str">
        <f>IF('As-Filed Schedule 2F'!B42:D42=0,"",'As-Filed Schedule 2F'!B42:D42)</f>
        <v/>
      </c>
      <c r="C42" s="507"/>
      <c r="D42" s="507"/>
      <c r="F42" s="117">
        <f>'As-Filed Schedule 2F'!F42</f>
        <v>0</v>
      </c>
      <c r="G42" s="313">
        <f>SUMIFS(Adjustments!$G:$G,Adjustments!$H:$H,"2F",Adjustments!$I:$I,'Schedule 2F Adjustments'!$F$12,Adjustments!$J:$J,'Schedule 2F Adjustments'!$A42)</f>
        <v>0</v>
      </c>
      <c r="H42" s="309">
        <f t="shared" si="0"/>
        <v>0</v>
      </c>
      <c r="I42" s="68">
        <f>IFERROR(F42*'As-Filed Schedule 1'!$E$103,0)</f>
        <v>0</v>
      </c>
      <c r="J42" s="310">
        <f>IFERROR(H42*'Adjusted Schedule 1'!$E$104,0)</f>
        <v>0</v>
      </c>
      <c r="K42" s="68">
        <f t="shared" si="1"/>
        <v>0</v>
      </c>
      <c r="L42" s="310">
        <f t="shared" si="2"/>
        <v>0</v>
      </c>
      <c r="N42" s="117">
        <f>'As-Filed Schedule 2F'!J42</f>
        <v>0</v>
      </c>
      <c r="O42" s="313">
        <f>SUMIFS(Adjustments!$G:$G,Adjustments!$H:$H,"2F",Adjustments!$I:$I,'Schedule 2F Adjustments'!$N$12,Adjustments!$J:$J,'Schedule 2F Adjustments'!$A42)</f>
        <v>0</v>
      </c>
      <c r="P42" s="309">
        <f t="shared" si="3"/>
        <v>0</v>
      </c>
      <c r="Q42" s="68">
        <f>IFERROR(N42*'As-Filed Schedule 1'!$E$103,0)</f>
        <v>0</v>
      </c>
      <c r="R42" s="68">
        <f>IFERROR(P42*'Adjusted Schedule 1'!$E$104,0)</f>
        <v>0</v>
      </c>
      <c r="S42" s="68">
        <f t="shared" si="4"/>
        <v>0</v>
      </c>
      <c r="T42" s="310">
        <f t="shared" si="5"/>
        <v>0</v>
      </c>
      <c r="V42" s="120">
        <f>'As-Filed Schedule 2F'!N42</f>
        <v>0</v>
      </c>
      <c r="W42" s="313">
        <f>SUMIFS(Adjustments!$G:$G,Adjustments!$H:$H,"2F",Adjustments!$I:$I,'Schedule 2F Adjustments'!$V$12,Adjustments!$J:$J,'Schedule 2F Adjustments'!$A42)</f>
        <v>0</v>
      </c>
      <c r="X42" s="309">
        <f t="shared" si="6"/>
        <v>0</v>
      </c>
      <c r="Y42" s="120">
        <f>'As-Filed Schedule 2F'!O42</f>
        <v>0</v>
      </c>
      <c r="Z42" s="313">
        <f>SUMIFS(Adjustments!$G:$G,Adjustments!$H:$H,"2F",Adjustments!$I:$I,'Schedule 2F Adjustments'!$Y$12,Adjustments!$J:$J,'Schedule 2F Adjustments'!$A42)</f>
        <v>0</v>
      </c>
      <c r="AA42" s="309">
        <f t="shared" si="7"/>
        <v>0</v>
      </c>
    </row>
    <row r="43" spans="1:27" x14ac:dyDescent="0.35">
      <c r="A43" s="24">
        <v>29</v>
      </c>
      <c r="B43" s="507" t="str">
        <f>IF('As-Filed Schedule 2F'!B43:D43=0,"",'As-Filed Schedule 2F'!B43:D43)</f>
        <v/>
      </c>
      <c r="C43" s="507"/>
      <c r="D43" s="507"/>
      <c r="F43" s="117">
        <f>'As-Filed Schedule 2F'!F43</f>
        <v>0</v>
      </c>
      <c r="G43" s="313">
        <f>SUMIFS(Adjustments!$G:$G,Adjustments!$H:$H,"2F",Adjustments!$I:$I,'Schedule 2F Adjustments'!$F$12,Adjustments!$J:$J,'Schedule 2F Adjustments'!$A43)</f>
        <v>0</v>
      </c>
      <c r="H43" s="309">
        <f t="shared" si="0"/>
        <v>0</v>
      </c>
      <c r="I43" s="68">
        <f>IFERROR(F43*'As-Filed Schedule 1'!$E$103,0)</f>
        <v>0</v>
      </c>
      <c r="J43" s="310">
        <f>IFERROR(H43*'Adjusted Schedule 1'!$E$104,0)</f>
        <v>0</v>
      </c>
      <c r="K43" s="68">
        <f t="shared" si="1"/>
        <v>0</v>
      </c>
      <c r="L43" s="310">
        <f t="shared" si="2"/>
        <v>0</v>
      </c>
      <c r="N43" s="117">
        <f>'As-Filed Schedule 2F'!J43</f>
        <v>0</v>
      </c>
      <c r="O43" s="313">
        <f>SUMIFS(Adjustments!$G:$G,Adjustments!$H:$H,"2F",Adjustments!$I:$I,'Schedule 2F Adjustments'!$N$12,Adjustments!$J:$J,'Schedule 2F Adjustments'!$A43)</f>
        <v>0</v>
      </c>
      <c r="P43" s="309">
        <f t="shared" si="3"/>
        <v>0</v>
      </c>
      <c r="Q43" s="68">
        <f>IFERROR(N43*'As-Filed Schedule 1'!$E$103,0)</f>
        <v>0</v>
      </c>
      <c r="R43" s="68">
        <f>IFERROR(P43*'Adjusted Schedule 1'!$E$104,0)</f>
        <v>0</v>
      </c>
      <c r="S43" s="68">
        <f t="shared" si="4"/>
        <v>0</v>
      </c>
      <c r="T43" s="310">
        <f t="shared" si="5"/>
        <v>0</v>
      </c>
      <c r="V43" s="120">
        <f>'As-Filed Schedule 2F'!N43</f>
        <v>0</v>
      </c>
      <c r="W43" s="313">
        <f>SUMIFS(Adjustments!$G:$G,Adjustments!$H:$H,"2F",Adjustments!$I:$I,'Schedule 2F Adjustments'!$V$12,Adjustments!$J:$J,'Schedule 2F Adjustments'!$A43)</f>
        <v>0</v>
      </c>
      <c r="X43" s="309">
        <f t="shared" si="6"/>
        <v>0</v>
      </c>
      <c r="Y43" s="120">
        <f>'As-Filed Schedule 2F'!O43</f>
        <v>0</v>
      </c>
      <c r="Z43" s="313">
        <f>SUMIFS(Adjustments!$G:$G,Adjustments!$H:$H,"2F",Adjustments!$I:$I,'Schedule 2F Adjustments'!$Y$12,Adjustments!$J:$J,'Schedule 2F Adjustments'!$A43)</f>
        <v>0</v>
      </c>
      <c r="AA43" s="309">
        <f t="shared" si="7"/>
        <v>0</v>
      </c>
    </row>
    <row r="44" spans="1:27" x14ac:dyDescent="0.35">
      <c r="A44" s="24">
        <v>30</v>
      </c>
      <c r="B44" s="507" t="str">
        <f>IF('As-Filed Schedule 2F'!B44:D44=0,"",'As-Filed Schedule 2F'!B44:D44)</f>
        <v/>
      </c>
      <c r="C44" s="507"/>
      <c r="D44" s="507"/>
      <c r="F44" s="117">
        <f>'As-Filed Schedule 2F'!F44</f>
        <v>0</v>
      </c>
      <c r="G44" s="313">
        <f>SUMIFS(Adjustments!$G:$G,Adjustments!$H:$H,"2F",Adjustments!$I:$I,'Schedule 2F Adjustments'!$F$12,Adjustments!$J:$J,'Schedule 2F Adjustments'!$A44)</f>
        <v>0</v>
      </c>
      <c r="H44" s="309">
        <f t="shared" si="0"/>
        <v>0</v>
      </c>
      <c r="I44" s="68">
        <f>IFERROR(F44*'As-Filed Schedule 1'!$E$103,0)</f>
        <v>0</v>
      </c>
      <c r="J44" s="310">
        <f>IFERROR(H44*'Adjusted Schedule 1'!$E$104,0)</f>
        <v>0</v>
      </c>
      <c r="K44" s="68">
        <f t="shared" si="1"/>
        <v>0</v>
      </c>
      <c r="L44" s="310">
        <f t="shared" si="2"/>
        <v>0</v>
      </c>
      <c r="N44" s="117">
        <f>'As-Filed Schedule 2F'!J44</f>
        <v>0</v>
      </c>
      <c r="O44" s="313">
        <f>SUMIFS(Adjustments!$G:$G,Adjustments!$H:$H,"2F",Adjustments!$I:$I,'Schedule 2F Adjustments'!$N$12,Adjustments!$J:$J,'Schedule 2F Adjustments'!$A44)</f>
        <v>0</v>
      </c>
      <c r="P44" s="309">
        <f t="shared" si="3"/>
        <v>0</v>
      </c>
      <c r="Q44" s="68">
        <f>IFERROR(N44*'As-Filed Schedule 1'!$E$103,0)</f>
        <v>0</v>
      </c>
      <c r="R44" s="68">
        <f>IFERROR(P44*'Adjusted Schedule 1'!$E$104,0)</f>
        <v>0</v>
      </c>
      <c r="S44" s="68">
        <f t="shared" si="4"/>
        <v>0</v>
      </c>
      <c r="T44" s="310">
        <f t="shared" si="5"/>
        <v>0</v>
      </c>
      <c r="V44" s="120">
        <f>'As-Filed Schedule 2F'!N44</f>
        <v>0</v>
      </c>
      <c r="W44" s="313">
        <f>SUMIFS(Adjustments!$G:$G,Adjustments!$H:$H,"2F",Adjustments!$I:$I,'Schedule 2F Adjustments'!$V$12,Adjustments!$J:$J,'Schedule 2F Adjustments'!$A44)</f>
        <v>0</v>
      </c>
      <c r="X44" s="309">
        <f t="shared" si="6"/>
        <v>0</v>
      </c>
      <c r="Y44" s="120">
        <f>'As-Filed Schedule 2F'!O44</f>
        <v>0</v>
      </c>
      <c r="Z44" s="313">
        <f>SUMIFS(Adjustments!$G:$G,Adjustments!$H:$H,"2F",Adjustments!$I:$I,'Schedule 2F Adjustments'!$Y$12,Adjustments!$J:$J,'Schedule 2F Adjustments'!$A44)</f>
        <v>0</v>
      </c>
      <c r="AA44" s="309">
        <f t="shared" si="7"/>
        <v>0</v>
      </c>
    </row>
    <row r="45" spans="1:27" x14ac:dyDescent="0.35">
      <c r="A45" s="24">
        <v>31</v>
      </c>
      <c r="B45" s="507" t="str">
        <f>IF('As-Filed Schedule 2F'!B45:D45=0,"",'As-Filed Schedule 2F'!B45:D45)</f>
        <v/>
      </c>
      <c r="C45" s="507"/>
      <c r="D45" s="507"/>
      <c r="F45" s="117">
        <f>'As-Filed Schedule 2F'!F45</f>
        <v>0</v>
      </c>
      <c r="G45" s="313">
        <f>SUMIFS(Adjustments!$G:$G,Adjustments!$H:$H,"2F",Adjustments!$I:$I,'Schedule 2F Adjustments'!$F$12,Adjustments!$J:$J,'Schedule 2F Adjustments'!$A45)</f>
        <v>0</v>
      </c>
      <c r="H45" s="309">
        <f t="shared" si="0"/>
        <v>0</v>
      </c>
      <c r="I45" s="68">
        <f>IFERROR(F45*'As-Filed Schedule 1'!$E$103,0)</f>
        <v>0</v>
      </c>
      <c r="J45" s="310">
        <f>IFERROR(H45*'Adjusted Schedule 1'!$E$104,0)</f>
        <v>0</v>
      </c>
      <c r="K45" s="68">
        <f t="shared" si="1"/>
        <v>0</v>
      </c>
      <c r="L45" s="310">
        <f t="shared" si="2"/>
        <v>0</v>
      </c>
      <c r="N45" s="117">
        <f>'As-Filed Schedule 2F'!J45</f>
        <v>0</v>
      </c>
      <c r="O45" s="313">
        <f>SUMIFS(Adjustments!$G:$G,Adjustments!$H:$H,"2F",Adjustments!$I:$I,'Schedule 2F Adjustments'!$N$12,Adjustments!$J:$J,'Schedule 2F Adjustments'!$A45)</f>
        <v>0</v>
      </c>
      <c r="P45" s="309">
        <f t="shared" si="3"/>
        <v>0</v>
      </c>
      <c r="Q45" s="68">
        <f>IFERROR(N45*'As-Filed Schedule 1'!$E$103,0)</f>
        <v>0</v>
      </c>
      <c r="R45" s="68">
        <f>IFERROR(P45*'Adjusted Schedule 1'!$E$104,0)</f>
        <v>0</v>
      </c>
      <c r="S45" s="68">
        <f t="shared" si="4"/>
        <v>0</v>
      </c>
      <c r="T45" s="310">
        <f t="shared" si="5"/>
        <v>0</v>
      </c>
      <c r="V45" s="120">
        <f>'As-Filed Schedule 2F'!N45</f>
        <v>0</v>
      </c>
      <c r="W45" s="313">
        <f>SUMIFS(Adjustments!$G:$G,Adjustments!$H:$H,"2F",Adjustments!$I:$I,'Schedule 2F Adjustments'!$V$12,Adjustments!$J:$J,'Schedule 2F Adjustments'!$A45)</f>
        <v>0</v>
      </c>
      <c r="X45" s="309">
        <f t="shared" si="6"/>
        <v>0</v>
      </c>
      <c r="Y45" s="120">
        <f>'As-Filed Schedule 2F'!O45</f>
        <v>0</v>
      </c>
      <c r="Z45" s="313">
        <f>SUMIFS(Adjustments!$G:$G,Adjustments!$H:$H,"2F",Adjustments!$I:$I,'Schedule 2F Adjustments'!$Y$12,Adjustments!$J:$J,'Schedule 2F Adjustments'!$A45)</f>
        <v>0</v>
      </c>
      <c r="AA45" s="309">
        <f t="shared" si="7"/>
        <v>0</v>
      </c>
    </row>
    <row r="46" spans="1:27" x14ac:dyDescent="0.35">
      <c r="A46" s="24">
        <v>32</v>
      </c>
      <c r="B46" s="507" t="str">
        <f>IF('As-Filed Schedule 2F'!B46:D46=0,"",'As-Filed Schedule 2F'!B46:D46)</f>
        <v/>
      </c>
      <c r="C46" s="507"/>
      <c r="D46" s="507"/>
      <c r="F46" s="117">
        <f>'As-Filed Schedule 2F'!F46</f>
        <v>0</v>
      </c>
      <c r="G46" s="313">
        <f>SUMIFS(Adjustments!$G:$G,Adjustments!$H:$H,"2F",Adjustments!$I:$I,'Schedule 2F Adjustments'!$F$12,Adjustments!$J:$J,'Schedule 2F Adjustments'!$A46)</f>
        <v>0</v>
      </c>
      <c r="H46" s="309">
        <f t="shared" si="0"/>
        <v>0</v>
      </c>
      <c r="I46" s="68">
        <f>IFERROR(F46*'As-Filed Schedule 1'!$E$103,0)</f>
        <v>0</v>
      </c>
      <c r="J46" s="310">
        <f>IFERROR(H46*'Adjusted Schedule 1'!$E$104,0)</f>
        <v>0</v>
      </c>
      <c r="K46" s="68">
        <f t="shared" si="1"/>
        <v>0</v>
      </c>
      <c r="L46" s="310">
        <f t="shared" si="2"/>
        <v>0</v>
      </c>
      <c r="N46" s="117">
        <f>'As-Filed Schedule 2F'!J46</f>
        <v>0</v>
      </c>
      <c r="O46" s="313">
        <f>SUMIFS(Adjustments!$G:$G,Adjustments!$H:$H,"2F",Adjustments!$I:$I,'Schedule 2F Adjustments'!$N$12,Adjustments!$J:$J,'Schedule 2F Adjustments'!$A46)</f>
        <v>0</v>
      </c>
      <c r="P46" s="309">
        <f t="shared" si="3"/>
        <v>0</v>
      </c>
      <c r="Q46" s="68">
        <f>IFERROR(N46*'As-Filed Schedule 1'!$E$103,0)</f>
        <v>0</v>
      </c>
      <c r="R46" s="68">
        <f>IFERROR(P46*'Adjusted Schedule 1'!$E$104,0)</f>
        <v>0</v>
      </c>
      <c r="S46" s="68">
        <f t="shared" si="4"/>
        <v>0</v>
      </c>
      <c r="T46" s="310">
        <f t="shared" si="5"/>
        <v>0</v>
      </c>
      <c r="V46" s="120">
        <f>'As-Filed Schedule 2F'!N46</f>
        <v>0</v>
      </c>
      <c r="W46" s="313">
        <f>SUMIFS(Adjustments!$G:$G,Adjustments!$H:$H,"2F",Adjustments!$I:$I,'Schedule 2F Adjustments'!$V$12,Adjustments!$J:$J,'Schedule 2F Adjustments'!$A46)</f>
        <v>0</v>
      </c>
      <c r="X46" s="309">
        <f t="shared" si="6"/>
        <v>0</v>
      </c>
      <c r="Y46" s="120">
        <f>'As-Filed Schedule 2F'!O46</f>
        <v>0</v>
      </c>
      <c r="Z46" s="313">
        <f>SUMIFS(Adjustments!$G:$G,Adjustments!$H:$H,"2F",Adjustments!$I:$I,'Schedule 2F Adjustments'!$Y$12,Adjustments!$J:$J,'Schedule 2F Adjustments'!$A46)</f>
        <v>0</v>
      </c>
      <c r="AA46" s="309">
        <f t="shared" si="7"/>
        <v>0</v>
      </c>
    </row>
    <row r="47" spans="1:27" x14ac:dyDescent="0.35">
      <c r="A47" s="24">
        <v>33</v>
      </c>
      <c r="B47" s="507" t="str">
        <f>IF('As-Filed Schedule 2F'!B47:D47=0,"",'As-Filed Schedule 2F'!B47:D47)</f>
        <v/>
      </c>
      <c r="C47" s="507"/>
      <c r="D47" s="507"/>
      <c r="F47" s="117">
        <f>'As-Filed Schedule 2F'!F47</f>
        <v>0</v>
      </c>
      <c r="G47" s="313">
        <f>SUMIFS(Adjustments!$G:$G,Adjustments!$H:$H,"2F",Adjustments!$I:$I,'Schedule 2F Adjustments'!$F$12,Adjustments!$J:$J,'Schedule 2F Adjustments'!$A47)</f>
        <v>0</v>
      </c>
      <c r="H47" s="309">
        <f t="shared" si="0"/>
        <v>0</v>
      </c>
      <c r="I47" s="68">
        <f>IFERROR(F47*'As-Filed Schedule 1'!$E$103,0)</f>
        <v>0</v>
      </c>
      <c r="J47" s="310">
        <f>IFERROR(H47*'Adjusted Schedule 1'!$E$104,0)</f>
        <v>0</v>
      </c>
      <c r="K47" s="68">
        <f t="shared" si="1"/>
        <v>0</v>
      </c>
      <c r="L47" s="310">
        <f t="shared" si="2"/>
        <v>0</v>
      </c>
      <c r="N47" s="117">
        <f>'As-Filed Schedule 2F'!J47</f>
        <v>0</v>
      </c>
      <c r="O47" s="313">
        <f>SUMIFS(Adjustments!$G:$G,Adjustments!$H:$H,"2F",Adjustments!$I:$I,'Schedule 2F Adjustments'!$N$12,Adjustments!$J:$J,'Schedule 2F Adjustments'!$A47)</f>
        <v>0</v>
      </c>
      <c r="P47" s="309">
        <f t="shared" si="3"/>
        <v>0</v>
      </c>
      <c r="Q47" s="68">
        <f>IFERROR(N47*'As-Filed Schedule 1'!$E$103,0)</f>
        <v>0</v>
      </c>
      <c r="R47" s="68">
        <f>IFERROR(P47*'Adjusted Schedule 1'!$E$104,0)</f>
        <v>0</v>
      </c>
      <c r="S47" s="68">
        <f t="shared" si="4"/>
        <v>0</v>
      </c>
      <c r="T47" s="310">
        <f t="shared" si="5"/>
        <v>0</v>
      </c>
      <c r="V47" s="120">
        <f>'As-Filed Schedule 2F'!N47</f>
        <v>0</v>
      </c>
      <c r="W47" s="313">
        <f>SUMIFS(Adjustments!$G:$G,Adjustments!$H:$H,"2F",Adjustments!$I:$I,'Schedule 2F Adjustments'!$V$12,Adjustments!$J:$J,'Schedule 2F Adjustments'!$A47)</f>
        <v>0</v>
      </c>
      <c r="X47" s="309">
        <f t="shared" si="6"/>
        <v>0</v>
      </c>
      <c r="Y47" s="120">
        <f>'As-Filed Schedule 2F'!O47</f>
        <v>0</v>
      </c>
      <c r="Z47" s="313">
        <f>SUMIFS(Adjustments!$G:$G,Adjustments!$H:$H,"2F",Adjustments!$I:$I,'Schedule 2F Adjustments'!$Y$12,Adjustments!$J:$J,'Schedule 2F Adjustments'!$A47)</f>
        <v>0</v>
      </c>
      <c r="AA47" s="309">
        <f t="shared" si="7"/>
        <v>0</v>
      </c>
    </row>
    <row r="48" spans="1:27" x14ac:dyDescent="0.35">
      <c r="A48" s="24">
        <v>34</v>
      </c>
      <c r="B48" s="507" t="str">
        <f>IF('As-Filed Schedule 2F'!B48:D48=0,"",'As-Filed Schedule 2F'!B48:D48)</f>
        <v/>
      </c>
      <c r="C48" s="507"/>
      <c r="D48" s="507"/>
      <c r="F48" s="117">
        <f>'As-Filed Schedule 2F'!F48</f>
        <v>0</v>
      </c>
      <c r="G48" s="313">
        <f>SUMIFS(Adjustments!$G:$G,Adjustments!$H:$H,"2F",Adjustments!$I:$I,'Schedule 2F Adjustments'!$F$12,Adjustments!$J:$J,'Schedule 2F Adjustments'!$A48)</f>
        <v>0</v>
      </c>
      <c r="H48" s="309">
        <f t="shared" si="0"/>
        <v>0</v>
      </c>
      <c r="I48" s="68">
        <f>IFERROR(F48*'As-Filed Schedule 1'!$E$103,0)</f>
        <v>0</v>
      </c>
      <c r="J48" s="310">
        <f>IFERROR(H48*'Adjusted Schedule 1'!$E$104,0)</f>
        <v>0</v>
      </c>
      <c r="K48" s="68">
        <f t="shared" si="1"/>
        <v>0</v>
      </c>
      <c r="L48" s="310">
        <f t="shared" si="2"/>
        <v>0</v>
      </c>
      <c r="N48" s="117">
        <f>'As-Filed Schedule 2F'!J48</f>
        <v>0</v>
      </c>
      <c r="O48" s="313">
        <f>SUMIFS(Adjustments!$G:$G,Adjustments!$H:$H,"2F",Adjustments!$I:$I,'Schedule 2F Adjustments'!$N$12,Adjustments!$J:$J,'Schedule 2F Adjustments'!$A48)</f>
        <v>0</v>
      </c>
      <c r="P48" s="309">
        <f t="shared" si="3"/>
        <v>0</v>
      </c>
      <c r="Q48" s="68">
        <f>IFERROR(N48*'As-Filed Schedule 1'!$E$103,0)</f>
        <v>0</v>
      </c>
      <c r="R48" s="68">
        <f>IFERROR(P48*'Adjusted Schedule 1'!$E$104,0)</f>
        <v>0</v>
      </c>
      <c r="S48" s="68">
        <f t="shared" si="4"/>
        <v>0</v>
      </c>
      <c r="T48" s="310">
        <f t="shared" si="5"/>
        <v>0</v>
      </c>
      <c r="V48" s="120">
        <f>'As-Filed Schedule 2F'!N48</f>
        <v>0</v>
      </c>
      <c r="W48" s="313">
        <f>SUMIFS(Adjustments!$G:$G,Adjustments!$H:$H,"2F",Adjustments!$I:$I,'Schedule 2F Adjustments'!$V$12,Adjustments!$J:$J,'Schedule 2F Adjustments'!$A48)</f>
        <v>0</v>
      </c>
      <c r="X48" s="309">
        <f t="shared" si="6"/>
        <v>0</v>
      </c>
      <c r="Y48" s="120">
        <f>'As-Filed Schedule 2F'!O48</f>
        <v>0</v>
      </c>
      <c r="Z48" s="313">
        <f>SUMIFS(Adjustments!$G:$G,Adjustments!$H:$H,"2F",Adjustments!$I:$I,'Schedule 2F Adjustments'!$Y$12,Adjustments!$J:$J,'Schedule 2F Adjustments'!$A48)</f>
        <v>0</v>
      </c>
      <c r="AA48" s="309">
        <f t="shared" si="7"/>
        <v>0</v>
      </c>
    </row>
    <row r="49" spans="1:27" x14ac:dyDescent="0.35">
      <c r="A49" s="24">
        <v>35</v>
      </c>
      <c r="B49" s="507" t="str">
        <f>IF('As-Filed Schedule 2F'!B49:D49=0,"",'As-Filed Schedule 2F'!B49:D49)</f>
        <v/>
      </c>
      <c r="C49" s="507"/>
      <c r="D49" s="507"/>
      <c r="F49" s="117">
        <f>'As-Filed Schedule 2F'!F49</f>
        <v>0</v>
      </c>
      <c r="G49" s="313">
        <f>SUMIFS(Adjustments!$G:$G,Adjustments!$H:$H,"2F",Adjustments!$I:$I,'Schedule 2F Adjustments'!$F$12,Adjustments!$J:$J,'Schedule 2F Adjustments'!$A49)</f>
        <v>0</v>
      </c>
      <c r="H49" s="309">
        <f t="shared" si="0"/>
        <v>0</v>
      </c>
      <c r="I49" s="68">
        <f>IFERROR(F49*'As-Filed Schedule 1'!$E$103,0)</f>
        <v>0</v>
      </c>
      <c r="J49" s="310">
        <f>IFERROR(H49*'Adjusted Schedule 1'!$E$104,0)</f>
        <v>0</v>
      </c>
      <c r="K49" s="68">
        <f t="shared" si="1"/>
        <v>0</v>
      </c>
      <c r="L49" s="310">
        <f t="shared" si="2"/>
        <v>0</v>
      </c>
      <c r="N49" s="117">
        <f>'As-Filed Schedule 2F'!J49</f>
        <v>0</v>
      </c>
      <c r="O49" s="313">
        <f>SUMIFS(Adjustments!$G:$G,Adjustments!$H:$H,"2F",Adjustments!$I:$I,'Schedule 2F Adjustments'!$N$12,Adjustments!$J:$J,'Schedule 2F Adjustments'!$A49)</f>
        <v>0</v>
      </c>
      <c r="P49" s="309">
        <f t="shared" si="3"/>
        <v>0</v>
      </c>
      <c r="Q49" s="68">
        <f>IFERROR(N49*'As-Filed Schedule 1'!$E$103,0)</f>
        <v>0</v>
      </c>
      <c r="R49" s="68">
        <f>IFERROR(P49*'Adjusted Schedule 1'!$E$104,0)</f>
        <v>0</v>
      </c>
      <c r="S49" s="68">
        <f t="shared" si="4"/>
        <v>0</v>
      </c>
      <c r="T49" s="310">
        <f t="shared" si="5"/>
        <v>0</v>
      </c>
      <c r="V49" s="120">
        <f>'As-Filed Schedule 2F'!N49</f>
        <v>0</v>
      </c>
      <c r="W49" s="313">
        <f>SUMIFS(Adjustments!$G:$G,Adjustments!$H:$H,"2F",Adjustments!$I:$I,'Schedule 2F Adjustments'!$V$12,Adjustments!$J:$J,'Schedule 2F Adjustments'!$A49)</f>
        <v>0</v>
      </c>
      <c r="X49" s="309">
        <f t="shared" si="6"/>
        <v>0</v>
      </c>
      <c r="Y49" s="120">
        <f>'As-Filed Schedule 2F'!O49</f>
        <v>0</v>
      </c>
      <c r="Z49" s="313">
        <f>SUMIFS(Adjustments!$G:$G,Adjustments!$H:$H,"2F",Adjustments!$I:$I,'Schedule 2F Adjustments'!$Y$12,Adjustments!$J:$J,'Schedule 2F Adjustments'!$A49)</f>
        <v>0</v>
      </c>
      <c r="AA49" s="309">
        <f t="shared" si="7"/>
        <v>0</v>
      </c>
    </row>
    <row r="50" spans="1:27" x14ac:dyDescent="0.35">
      <c r="A50" s="24">
        <v>36</v>
      </c>
      <c r="B50" s="507" t="str">
        <f>IF('As-Filed Schedule 2F'!B50:D50=0,"",'As-Filed Schedule 2F'!B50:D50)</f>
        <v/>
      </c>
      <c r="C50" s="507"/>
      <c r="D50" s="507"/>
      <c r="F50" s="117">
        <f>'As-Filed Schedule 2F'!F50</f>
        <v>0</v>
      </c>
      <c r="G50" s="313">
        <f>SUMIFS(Adjustments!$G:$G,Adjustments!$H:$H,"2F",Adjustments!$I:$I,'Schedule 2F Adjustments'!$F$12,Adjustments!$J:$J,'Schedule 2F Adjustments'!$A50)</f>
        <v>0</v>
      </c>
      <c r="H50" s="309">
        <f t="shared" si="0"/>
        <v>0</v>
      </c>
      <c r="I50" s="68">
        <f>IFERROR(F50*'As-Filed Schedule 1'!$E$103,0)</f>
        <v>0</v>
      </c>
      <c r="J50" s="310">
        <f>IFERROR(H50*'Adjusted Schedule 1'!$E$104,0)</f>
        <v>0</v>
      </c>
      <c r="K50" s="68">
        <f t="shared" si="1"/>
        <v>0</v>
      </c>
      <c r="L50" s="310">
        <f t="shared" si="2"/>
        <v>0</v>
      </c>
      <c r="N50" s="117">
        <f>'As-Filed Schedule 2F'!J50</f>
        <v>0</v>
      </c>
      <c r="O50" s="313">
        <f>SUMIFS(Adjustments!$G:$G,Adjustments!$H:$H,"2F",Adjustments!$I:$I,'Schedule 2F Adjustments'!$N$12,Adjustments!$J:$J,'Schedule 2F Adjustments'!$A50)</f>
        <v>0</v>
      </c>
      <c r="P50" s="309">
        <f t="shared" si="3"/>
        <v>0</v>
      </c>
      <c r="Q50" s="68">
        <f>IFERROR(N50*'As-Filed Schedule 1'!$E$103,0)</f>
        <v>0</v>
      </c>
      <c r="R50" s="68">
        <f>IFERROR(P50*'Adjusted Schedule 1'!$E$104,0)</f>
        <v>0</v>
      </c>
      <c r="S50" s="68">
        <f t="shared" si="4"/>
        <v>0</v>
      </c>
      <c r="T50" s="310">
        <f t="shared" si="5"/>
        <v>0</v>
      </c>
      <c r="V50" s="120">
        <f>'As-Filed Schedule 2F'!N50</f>
        <v>0</v>
      </c>
      <c r="W50" s="313">
        <f>SUMIFS(Adjustments!$G:$G,Adjustments!$H:$H,"2F",Adjustments!$I:$I,'Schedule 2F Adjustments'!$V$12,Adjustments!$J:$J,'Schedule 2F Adjustments'!$A50)</f>
        <v>0</v>
      </c>
      <c r="X50" s="309">
        <f t="shared" si="6"/>
        <v>0</v>
      </c>
      <c r="Y50" s="120">
        <f>'As-Filed Schedule 2F'!O50</f>
        <v>0</v>
      </c>
      <c r="Z50" s="313">
        <f>SUMIFS(Adjustments!$G:$G,Adjustments!$H:$H,"2F",Adjustments!$I:$I,'Schedule 2F Adjustments'!$Y$12,Adjustments!$J:$J,'Schedule 2F Adjustments'!$A50)</f>
        <v>0</v>
      </c>
      <c r="AA50" s="309">
        <f t="shared" si="7"/>
        <v>0</v>
      </c>
    </row>
    <row r="51" spans="1:27" x14ac:dyDescent="0.35">
      <c r="A51" s="24">
        <v>37</v>
      </c>
      <c r="B51" s="507" t="str">
        <f>IF('As-Filed Schedule 2F'!B51:D51=0,"",'As-Filed Schedule 2F'!B51:D51)</f>
        <v/>
      </c>
      <c r="C51" s="507"/>
      <c r="D51" s="507"/>
      <c r="F51" s="117">
        <f>'As-Filed Schedule 2F'!F51</f>
        <v>0</v>
      </c>
      <c r="G51" s="313">
        <f>SUMIFS(Adjustments!$G:$G,Adjustments!$H:$H,"2F",Adjustments!$I:$I,'Schedule 2F Adjustments'!$F$12,Adjustments!$J:$J,'Schedule 2F Adjustments'!$A51)</f>
        <v>0</v>
      </c>
      <c r="H51" s="309">
        <f t="shared" si="0"/>
        <v>0</v>
      </c>
      <c r="I51" s="68">
        <f>IFERROR(F51*'As-Filed Schedule 1'!$E$103,0)</f>
        <v>0</v>
      </c>
      <c r="J51" s="310">
        <f>IFERROR(H51*'Adjusted Schedule 1'!$E$104,0)</f>
        <v>0</v>
      </c>
      <c r="K51" s="68">
        <f t="shared" si="1"/>
        <v>0</v>
      </c>
      <c r="L51" s="310">
        <f t="shared" si="2"/>
        <v>0</v>
      </c>
      <c r="N51" s="117">
        <f>'As-Filed Schedule 2F'!J51</f>
        <v>0</v>
      </c>
      <c r="O51" s="313">
        <f>SUMIFS(Adjustments!$G:$G,Adjustments!$H:$H,"2F",Adjustments!$I:$I,'Schedule 2F Adjustments'!$N$12,Adjustments!$J:$J,'Schedule 2F Adjustments'!$A51)</f>
        <v>0</v>
      </c>
      <c r="P51" s="309">
        <f t="shared" si="3"/>
        <v>0</v>
      </c>
      <c r="Q51" s="68">
        <f>IFERROR(N51*'As-Filed Schedule 1'!$E$103,0)</f>
        <v>0</v>
      </c>
      <c r="R51" s="68">
        <f>IFERROR(P51*'Adjusted Schedule 1'!$E$104,0)</f>
        <v>0</v>
      </c>
      <c r="S51" s="68">
        <f t="shared" si="4"/>
        <v>0</v>
      </c>
      <c r="T51" s="310">
        <f t="shared" si="5"/>
        <v>0</v>
      </c>
      <c r="V51" s="120">
        <f>'As-Filed Schedule 2F'!N51</f>
        <v>0</v>
      </c>
      <c r="W51" s="313">
        <f>SUMIFS(Adjustments!$G:$G,Adjustments!$H:$H,"2F",Adjustments!$I:$I,'Schedule 2F Adjustments'!$V$12,Adjustments!$J:$J,'Schedule 2F Adjustments'!$A51)</f>
        <v>0</v>
      </c>
      <c r="X51" s="309">
        <f t="shared" si="6"/>
        <v>0</v>
      </c>
      <c r="Y51" s="120">
        <f>'As-Filed Schedule 2F'!O51</f>
        <v>0</v>
      </c>
      <c r="Z51" s="313">
        <f>SUMIFS(Adjustments!$G:$G,Adjustments!$H:$H,"2F",Adjustments!$I:$I,'Schedule 2F Adjustments'!$Y$12,Adjustments!$J:$J,'Schedule 2F Adjustments'!$A51)</f>
        <v>0</v>
      </c>
      <c r="AA51" s="309">
        <f t="shared" si="7"/>
        <v>0</v>
      </c>
    </row>
    <row r="52" spans="1:27" x14ac:dyDescent="0.35">
      <c r="A52" s="24">
        <v>38</v>
      </c>
      <c r="B52" s="507" t="str">
        <f>IF('As-Filed Schedule 2F'!B52:D52=0,"",'As-Filed Schedule 2F'!B52:D52)</f>
        <v/>
      </c>
      <c r="C52" s="507"/>
      <c r="D52" s="507"/>
      <c r="F52" s="117">
        <f>'As-Filed Schedule 2F'!F52</f>
        <v>0</v>
      </c>
      <c r="G52" s="313">
        <f>SUMIFS(Adjustments!$G:$G,Adjustments!$H:$H,"2F",Adjustments!$I:$I,'Schedule 2F Adjustments'!$F$12,Adjustments!$J:$J,'Schedule 2F Adjustments'!$A52)</f>
        <v>0</v>
      </c>
      <c r="H52" s="309">
        <f t="shared" si="0"/>
        <v>0</v>
      </c>
      <c r="I52" s="68">
        <f>IFERROR(F52*'As-Filed Schedule 1'!$E$103,0)</f>
        <v>0</v>
      </c>
      <c r="J52" s="310">
        <f>IFERROR(H52*'Adjusted Schedule 1'!$E$104,0)</f>
        <v>0</v>
      </c>
      <c r="K52" s="68">
        <f t="shared" si="1"/>
        <v>0</v>
      </c>
      <c r="L52" s="310">
        <f t="shared" si="2"/>
        <v>0</v>
      </c>
      <c r="N52" s="117">
        <f>'As-Filed Schedule 2F'!J52</f>
        <v>0</v>
      </c>
      <c r="O52" s="313">
        <f>SUMIFS(Adjustments!$G:$G,Adjustments!$H:$H,"2F",Adjustments!$I:$I,'Schedule 2F Adjustments'!$N$12,Adjustments!$J:$J,'Schedule 2F Adjustments'!$A52)</f>
        <v>0</v>
      </c>
      <c r="P52" s="309">
        <f t="shared" si="3"/>
        <v>0</v>
      </c>
      <c r="Q52" s="68">
        <f>IFERROR(N52*'As-Filed Schedule 1'!$E$103,0)</f>
        <v>0</v>
      </c>
      <c r="R52" s="68">
        <f>IFERROR(P52*'Adjusted Schedule 1'!$E$104,0)</f>
        <v>0</v>
      </c>
      <c r="S52" s="68">
        <f t="shared" si="4"/>
        <v>0</v>
      </c>
      <c r="T52" s="310">
        <f t="shared" si="5"/>
        <v>0</v>
      </c>
      <c r="V52" s="120">
        <f>'As-Filed Schedule 2F'!N52</f>
        <v>0</v>
      </c>
      <c r="W52" s="313">
        <f>SUMIFS(Adjustments!$G:$G,Adjustments!$H:$H,"2F",Adjustments!$I:$I,'Schedule 2F Adjustments'!$V$12,Adjustments!$J:$J,'Schedule 2F Adjustments'!$A52)</f>
        <v>0</v>
      </c>
      <c r="X52" s="309">
        <f t="shared" si="6"/>
        <v>0</v>
      </c>
      <c r="Y52" s="120">
        <f>'As-Filed Schedule 2F'!O52</f>
        <v>0</v>
      </c>
      <c r="Z52" s="313">
        <f>SUMIFS(Adjustments!$G:$G,Adjustments!$H:$H,"2F",Adjustments!$I:$I,'Schedule 2F Adjustments'!$Y$12,Adjustments!$J:$J,'Schedule 2F Adjustments'!$A52)</f>
        <v>0</v>
      </c>
      <c r="AA52" s="309">
        <f t="shared" si="7"/>
        <v>0</v>
      </c>
    </row>
    <row r="53" spans="1:27" x14ac:dyDescent="0.35">
      <c r="A53" s="24">
        <v>39</v>
      </c>
      <c r="B53" s="507" t="str">
        <f>IF('As-Filed Schedule 2F'!B53:D53=0,"",'As-Filed Schedule 2F'!B53:D53)</f>
        <v/>
      </c>
      <c r="C53" s="507"/>
      <c r="D53" s="507"/>
      <c r="F53" s="117">
        <f>'As-Filed Schedule 2F'!F53</f>
        <v>0</v>
      </c>
      <c r="G53" s="313">
        <f>SUMIFS(Adjustments!$G:$G,Adjustments!$H:$H,"2F",Adjustments!$I:$I,'Schedule 2F Adjustments'!$F$12,Adjustments!$J:$J,'Schedule 2F Adjustments'!$A53)</f>
        <v>0</v>
      </c>
      <c r="H53" s="309">
        <f t="shared" si="0"/>
        <v>0</v>
      </c>
      <c r="I53" s="68">
        <f>IFERROR(F53*'As-Filed Schedule 1'!$E$103,0)</f>
        <v>0</v>
      </c>
      <c r="J53" s="310">
        <f>IFERROR(H53*'Adjusted Schedule 1'!$E$104,0)</f>
        <v>0</v>
      </c>
      <c r="K53" s="68">
        <f t="shared" si="1"/>
        <v>0</v>
      </c>
      <c r="L53" s="310">
        <f t="shared" si="2"/>
        <v>0</v>
      </c>
      <c r="N53" s="117">
        <f>'As-Filed Schedule 2F'!J53</f>
        <v>0</v>
      </c>
      <c r="O53" s="313">
        <f>SUMIFS(Adjustments!$G:$G,Adjustments!$H:$H,"2F",Adjustments!$I:$I,'Schedule 2F Adjustments'!$N$12,Adjustments!$J:$J,'Schedule 2F Adjustments'!$A53)</f>
        <v>0</v>
      </c>
      <c r="P53" s="309">
        <f t="shared" si="3"/>
        <v>0</v>
      </c>
      <c r="Q53" s="68">
        <f>IFERROR(N53*'As-Filed Schedule 1'!$E$103,0)</f>
        <v>0</v>
      </c>
      <c r="R53" s="68">
        <f>IFERROR(P53*'Adjusted Schedule 1'!$E$104,0)</f>
        <v>0</v>
      </c>
      <c r="S53" s="68">
        <f t="shared" si="4"/>
        <v>0</v>
      </c>
      <c r="T53" s="310">
        <f t="shared" si="5"/>
        <v>0</v>
      </c>
      <c r="V53" s="120">
        <f>'As-Filed Schedule 2F'!N53</f>
        <v>0</v>
      </c>
      <c r="W53" s="313">
        <f>SUMIFS(Adjustments!$G:$G,Adjustments!$H:$H,"2F",Adjustments!$I:$I,'Schedule 2F Adjustments'!$V$12,Adjustments!$J:$J,'Schedule 2F Adjustments'!$A53)</f>
        <v>0</v>
      </c>
      <c r="X53" s="309">
        <f t="shared" si="6"/>
        <v>0</v>
      </c>
      <c r="Y53" s="120">
        <f>'As-Filed Schedule 2F'!O53</f>
        <v>0</v>
      </c>
      <c r="Z53" s="313">
        <f>SUMIFS(Adjustments!$G:$G,Adjustments!$H:$H,"2F",Adjustments!$I:$I,'Schedule 2F Adjustments'!$Y$12,Adjustments!$J:$J,'Schedule 2F Adjustments'!$A53)</f>
        <v>0</v>
      </c>
      <c r="AA53" s="309">
        <f t="shared" si="7"/>
        <v>0</v>
      </c>
    </row>
    <row r="54" spans="1:27" x14ac:dyDescent="0.35">
      <c r="A54" s="24">
        <v>40</v>
      </c>
      <c r="B54" s="507" t="str">
        <f>IF('As-Filed Schedule 2F'!B54:D54=0,"",'As-Filed Schedule 2F'!B54:D54)</f>
        <v/>
      </c>
      <c r="C54" s="507"/>
      <c r="D54" s="507"/>
      <c r="F54" s="117">
        <f>'As-Filed Schedule 2F'!F54</f>
        <v>0</v>
      </c>
      <c r="G54" s="313">
        <f>SUMIFS(Adjustments!$G:$G,Adjustments!$H:$H,"2F",Adjustments!$I:$I,'Schedule 2F Adjustments'!$F$12,Adjustments!$J:$J,'Schedule 2F Adjustments'!$A54)</f>
        <v>0</v>
      </c>
      <c r="H54" s="309">
        <f t="shared" si="0"/>
        <v>0</v>
      </c>
      <c r="I54" s="68">
        <f>IFERROR(F54*'As-Filed Schedule 1'!$E$103,0)</f>
        <v>0</v>
      </c>
      <c r="J54" s="310">
        <f>IFERROR(H54*'Adjusted Schedule 1'!$E$104,0)</f>
        <v>0</v>
      </c>
      <c r="K54" s="68">
        <f t="shared" si="1"/>
        <v>0</v>
      </c>
      <c r="L54" s="310">
        <f t="shared" si="2"/>
        <v>0</v>
      </c>
      <c r="N54" s="117">
        <f>'As-Filed Schedule 2F'!J54</f>
        <v>0</v>
      </c>
      <c r="O54" s="313">
        <f>SUMIFS(Adjustments!$G:$G,Adjustments!$H:$H,"2F",Adjustments!$I:$I,'Schedule 2F Adjustments'!$N$12,Adjustments!$J:$J,'Schedule 2F Adjustments'!$A54)</f>
        <v>0</v>
      </c>
      <c r="P54" s="309">
        <f t="shared" si="3"/>
        <v>0</v>
      </c>
      <c r="Q54" s="68">
        <f>IFERROR(N54*'As-Filed Schedule 1'!$E$103,0)</f>
        <v>0</v>
      </c>
      <c r="R54" s="68">
        <f>IFERROR(P54*'Adjusted Schedule 1'!$E$104,0)</f>
        <v>0</v>
      </c>
      <c r="S54" s="68">
        <f t="shared" si="4"/>
        <v>0</v>
      </c>
      <c r="T54" s="310">
        <f t="shared" si="5"/>
        <v>0</v>
      </c>
      <c r="V54" s="120">
        <f>'As-Filed Schedule 2F'!N54</f>
        <v>0</v>
      </c>
      <c r="W54" s="313">
        <f>SUMIFS(Adjustments!$G:$G,Adjustments!$H:$H,"2F",Adjustments!$I:$I,'Schedule 2F Adjustments'!$V$12,Adjustments!$J:$J,'Schedule 2F Adjustments'!$A54)</f>
        <v>0</v>
      </c>
      <c r="X54" s="309">
        <f t="shared" si="6"/>
        <v>0</v>
      </c>
      <c r="Y54" s="120">
        <f>'As-Filed Schedule 2F'!O54</f>
        <v>0</v>
      </c>
      <c r="Z54" s="313">
        <f>SUMIFS(Adjustments!$G:$G,Adjustments!$H:$H,"2F",Adjustments!$I:$I,'Schedule 2F Adjustments'!$Y$12,Adjustments!$J:$J,'Schedule 2F Adjustments'!$A54)</f>
        <v>0</v>
      </c>
      <c r="AA54" s="309">
        <f t="shared" si="7"/>
        <v>0</v>
      </c>
    </row>
    <row r="55" spans="1:27" x14ac:dyDescent="0.35">
      <c r="A55" s="24">
        <v>41</v>
      </c>
      <c r="B55" s="507" t="str">
        <f>IF('As-Filed Schedule 2F'!B55:D55=0,"",'As-Filed Schedule 2F'!B55:D55)</f>
        <v/>
      </c>
      <c r="C55" s="507"/>
      <c r="D55" s="507"/>
      <c r="F55" s="117">
        <f>'As-Filed Schedule 2F'!F55</f>
        <v>0</v>
      </c>
      <c r="G55" s="313">
        <f>SUMIFS(Adjustments!$G:$G,Adjustments!$H:$H,"2F",Adjustments!$I:$I,'Schedule 2F Adjustments'!$F$12,Adjustments!$J:$J,'Schedule 2F Adjustments'!$A55)</f>
        <v>0</v>
      </c>
      <c r="H55" s="309">
        <f t="shared" si="0"/>
        <v>0</v>
      </c>
      <c r="I55" s="68">
        <f>IFERROR(F55*'As-Filed Schedule 1'!$E$103,0)</f>
        <v>0</v>
      </c>
      <c r="J55" s="310">
        <f>IFERROR(H55*'Adjusted Schedule 1'!$E$104,0)</f>
        <v>0</v>
      </c>
      <c r="K55" s="68">
        <f t="shared" si="1"/>
        <v>0</v>
      </c>
      <c r="L55" s="310">
        <f t="shared" si="2"/>
        <v>0</v>
      </c>
      <c r="N55" s="117">
        <f>'As-Filed Schedule 2F'!J55</f>
        <v>0</v>
      </c>
      <c r="O55" s="313">
        <f>SUMIFS(Adjustments!$G:$G,Adjustments!$H:$H,"2F",Adjustments!$I:$I,'Schedule 2F Adjustments'!$N$12,Adjustments!$J:$J,'Schedule 2F Adjustments'!$A55)</f>
        <v>0</v>
      </c>
      <c r="P55" s="309">
        <f t="shared" si="3"/>
        <v>0</v>
      </c>
      <c r="Q55" s="68">
        <f>IFERROR(N55*'As-Filed Schedule 1'!$E$103,0)</f>
        <v>0</v>
      </c>
      <c r="R55" s="68">
        <f>IFERROR(P55*'Adjusted Schedule 1'!$E$104,0)</f>
        <v>0</v>
      </c>
      <c r="S55" s="68">
        <f t="shared" si="4"/>
        <v>0</v>
      </c>
      <c r="T55" s="310">
        <f t="shared" si="5"/>
        <v>0</v>
      </c>
      <c r="V55" s="120">
        <f>'As-Filed Schedule 2F'!N55</f>
        <v>0</v>
      </c>
      <c r="W55" s="313">
        <f>SUMIFS(Adjustments!$G:$G,Adjustments!$H:$H,"2F",Adjustments!$I:$I,'Schedule 2F Adjustments'!$V$12,Adjustments!$J:$J,'Schedule 2F Adjustments'!$A55)</f>
        <v>0</v>
      </c>
      <c r="X55" s="309">
        <f t="shared" si="6"/>
        <v>0</v>
      </c>
      <c r="Y55" s="120">
        <f>'As-Filed Schedule 2F'!O55</f>
        <v>0</v>
      </c>
      <c r="Z55" s="313">
        <f>SUMIFS(Adjustments!$G:$G,Adjustments!$H:$H,"2F",Adjustments!$I:$I,'Schedule 2F Adjustments'!$Y$12,Adjustments!$J:$J,'Schedule 2F Adjustments'!$A55)</f>
        <v>0</v>
      </c>
      <c r="AA55" s="309">
        <f t="shared" si="7"/>
        <v>0</v>
      </c>
    </row>
    <row r="56" spans="1:27" x14ac:dyDescent="0.35">
      <c r="A56" s="24">
        <v>42</v>
      </c>
      <c r="B56" s="507" t="str">
        <f>IF('As-Filed Schedule 2F'!B56:D56=0,"",'As-Filed Schedule 2F'!B56:D56)</f>
        <v/>
      </c>
      <c r="C56" s="507"/>
      <c r="D56" s="507"/>
      <c r="F56" s="117">
        <f>'As-Filed Schedule 2F'!F56</f>
        <v>0</v>
      </c>
      <c r="G56" s="313">
        <f>SUMIFS(Adjustments!$G:$G,Adjustments!$H:$H,"2F",Adjustments!$I:$I,'Schedule 2F Adjustments'!$F$12,Adjustments!$J:$J,'Schedule 2F Adjustments'!$A56)</f>
        <v>0</v>
      </c>
      <c r="H56" s="309">
        <f t="shared" si="0"/>
        <v>0</v>
      </c>
      <c r="I56" s="68">
        <f>IFERROR(F56*'As-Filed Schedule 1'!$E$103,0)</f>
        <v>0</v>
      </c>
      <c r="J56" s="310">
        <f>IFERROR(H56*'Adjusted Schedule 1'!$E$104,0)</f>
        <v>0</v>
      </c>
      <c r="K56" s="68">
        <f t="shared" si="1"/>
        <v>0</v>
      </c>
      <c r="L56" s="310">
        <f t="shared" si="2"/>
        <v>0</v>
      </c>
      <c r="N56" s="117">
        <f>'As-Filed Schedule 2F'!J56</f>
        <v>0</v>
      </c>
      <c r="O56" s="313">
        <f>SUMIFS(Adjustments!$G:$G,Adjustments!$H:$H,"2F",Adjustments!$I:$I,'Schedule 2F Adjustments'!$N$12,Adjustments!$J:$J,'Schedule 2F Adjustments'!$A56)</f>
        <v>0</v>
      </c>
      <c r="P56" s="309">
        <f t="shared" si="3"/>
        <v>0</v>
      </c>
      <c r="Q56" s="68">
        <f>IFERROR(N56*'As-Filed Schedule 1'!$E$103,0)</f>
        <v>0</v>
      </c>
      <c r="R56" s="68">
        <f>IFERROR(P56*'Adjusted Schedule 1'!$E$104,0)</f>
        <v>0</v>
      </c>
      <c r="S56" s="68">
        <f t="shared" si="4"/>
        <v>0</v>
      </c>
      <c r="T56" s="310">
        <f t="shared" si="5"/>
        <v>0</v>
      </c>
      <c r="V56" s="120">
        <f>'As-Filed Schedule 2F'!N56</f>
        <v>0</v>
      </c>
      <c r="W56" s="313">
        <f>SUMIFS(Adjustments!$G:$G,Adjustments!$H:$H,"2F",Adjustments!$I:$I,'Schedule 2F Adjustments'!$V$12,Adjustments!$J:$J,'Schedule 2F Adjustments'!$A56)</f>
        <v>0</v>
      </c>
      <c r="X56" s="309">
        <f t="shared" si="6"/>
        <v>0</v>
      </c>
      <c r="Y56" s="120">
        <f>'As-Filed Schedule 2F'!O56</f>
        <v>0</v>
      </c>
      <c r="Z56" s="313">
        <f>SUMIFS(Adjustments!$G:$G,Adjustments!$H:$H,"2F",Adjustments!$I:$I,'Schedule 2F Adjustments'!$Y$12,Adjustments!$J:$J,'Schedule 2F Adjustments'!$A56)</f>
        <v>0</v>
      </c>
      <c r="AA56" s="309">
        <f t="shared" si="7"/>
        <v>0</v>
      </c>
    </row>
    <row r="57" spans="1:27" x14ac:dyDescent="0.35">
      <c r="A57" s="24">
        <v>43</v>
      </c>
      <c r="B57" s="507" t="str">
        <f>IF('As-Filed Schedule 2F'!B57:D57=0,"",'As-Filed Schedule 2F'!B57:D57)</f>
        <v/>
      </c>
      <c r="C57" s="507"/>
      <c r="D57" s="507"/>
      <c r="F57" s="117">
        <f>'As-Filed Schedule 2F'!F57</f>
        <v>0</v>
      </c>
      <c r="G57" s="313">
        <f>SUMIFS(Adjustments!$G:$G,Adjustments!$H:$H,"2F",Adjustments!$I:$I,'Schedule 2F Adjustments'!$F$12,Adjustments!$J:$J,'Schedule 2F Adjustments'!$A57)</f>
        <v>0</v>
      </c>
      <c r="H57" s="309">
        <f t="shared" si="0"/>
        <v>0</v>
      </c>
      <c r="I57" s="68">
        <f>IFERROR(F57*'As-Filed Schedule 1'!$E$103,0)</f>
        <v>0</v>
      </c>
      <c r="J57" s="310">
        <f>IFERROR(H57*'Adjusted Schedule 1'!$E$104,0)</f>
        <v>0</v>
      </c>
      <c r="K57" s="68">
        <f t="shared" si="1"/>
        <v>0</v>
      </c>
      <c r="L57" s="310">
        <f t="shared" si="2"/>
        <v>0</v>
      </c>
      <c r="N57" s="117">
        <f>'As-Filed Schedule 2F'!J57</f>
        <v>0</v>
      </c>
      <c r="O57" s="313">
        <f>SUMIFS(Adjustments!$G:$G,Adjustments!$H:$H,"2F",Adjustments!$I:$I,'Schedule 2F Adjustments'!$N$12,Adjustments!$J:$J,'Schedule 2F Adjustments'!$A57)</f>
        <v>0</v>
      </c>
      <c r="P57" s="309">
        <f t="shared" si="3"/>
        <v>0</v>
      </c>
      <c r="Q57" s="68">
        <f>IFERROR(N57*'As-Filed Schedule 1'!$E$103,0)</f>
        <v>0</v>
      </c>
      <c r="R57" s="68">
        <f>IFERROR(P57*'Adjusted Schedule 1'!$E$104,0)</f>
        <v>0</v>
      </c>
      <c r="S57" s="68">
        <f t="shared" si="4"/>
        <v>0</v>
      </c>
      <c r="T57" s="310">
        <f t="shared" si="5"/>
        <v>0</v>
      </c>
      <c r="V57" s="120">
        <f>'As-Filed Schedule 2F'!N57</f>
        <v>0</v>
      </c>
      <c r="W57" s="313">
        <f>SUMIFS(Adjustments!$G:$G,Adjustments!$H:$H,"2F",Adjustments!$I:$I,'Schedule 2F Adjustments'!$V$12,Adjustments!$J:$J,'Schedule 2F Adjustments'!$A57)</f>
        <v>0</v>
      </c>
      <c r="X57" s="309">
        <f t="shared" si="6"/>
        <v>0</v>
      </c>
      <c r="Y57" s="120">
        <f>'As-Filed Schedule 2F'!O57</f>
        <v>0</v>
      </c>
      <c r="Z57" s="313">
        <f>SUMIFS(Adjustments!$G:$G,Adjustments!$H:$H,"2F",Adjustments!$I:$I,'Schedule 2F Adjustments'!$Y$12,Adjustments!$J:$J,'Schedule 2F Adjustments'!$A57)</f>
        <v>0</v>
      </c>
      <c r="AA57" s="309">
        <f t="shared" si="7"/>
        <v>0</v>
      </c>
    </row>
    <row r="58" spans="1:27" x14ac:dyDescent="0.35">
      <c r="A58" s="24">
        <v>44</v>
      </c>
      <c r="B58" s="507" t="str">
        <f>IF('As-Filed Schedule 2F'!B58:D58=0,"",'As-Filed Schedule 2F'!B58:D58)</f>
        <v/>
      </c>
      <c r="C58" s="507"/>
      <c r="D58" s="507"/>
      <c r="F58" s="117">
        <f>'As-Filed Schedule 2F'!F58</f>
        <v>0</v>
      </c>
      <c r="G58" s="313">
        <f>SUMIFS(Adjustments!$G:$G,Adjustments!$H:$H,"2F",Adjustments!$I:$I,'Schedule 2F Adjustments'!$F$12,Adjustments!$J:$J,'Schedule 2F Adjustments'!$A58)</f>
        <v>0</v>
      </c>
      <c r="H58" s="309">
        <f t="shared" si="0"/>
        <v>0</v>
      </c>
      <c r="I58" s="68">
        <f>IFERROR(F58*'As-Filed Schedule 1'!$E$103,0)</f>
        <v>0</v>
      </c>
      <c r="J58" s="310">
        <f>IFERROR(H58*'Adjusted Schedule 1'!$E$104,0)</f>
        <v>0</v>
      </c>
      <c r="K58" s="68">
        <f t="shared" si="1"/>
        <v>0</v>
      </c>
      <c r="L58" s="310">
        <f t="shared" si="2"/>
        <v>0</v>
      </c>
      <c r="N58" s="117">
        <f>'As-Filed Schedule 2F'!J58</f>
        <v>0</v>
      </c>
      <c r="O58" s="313">
        <f>SUMIFS(Adjustments!$G:$G,Adjustments!$H:$H,"2F",Adjustments!$I:$I,'Schedule 2F Adjustments'!$N$12,Adjustments!$J:$J,'Schedule 2F Adjustments'!$A58)</f>
        <v>0</v>
      </c>
      <c r="P58" s="309">
        <f t="shared" si="3"/>
        <v>0</v>
      </c>
      <c r="Q58" s="68">
        <f>IFERROR(N58*'As-Filed Schedule 1'!$E$103,0)</f>
        <v>0</v>
      </c>
      <c r="R58" s="68">
        <f>IFERROR(P58*'Adjusted Schedule 1'!$E$104,0)</f>
        <v>0</v>
      </c>
      <c r="S58" s="68">
        <f t="shared" si="4"/>
        <v>0</v>
      </c>
      <c r="T58" s="310">
        <f t="shared" si="5"/>
        <v>0</v>
      </c>
      <c r="V58" s="120">
        <f>'As-Filed Schedule 2F'!N58</f>
        <v>0</v>
      </c>
      <c r="W58" s="313">
        <f>SUMIFS(Adjustments!$G:$G,Adjustments!$H:$H,"2F",Adjustments!$I:$I,'Schedule 2F Adjustments'!$V$12,Adjustments!$J:$J,'Schedule 2F Adjustments'!$A58)</f>
        <v>0</v>
      </c>
      <c r="X58" s="309">
        <f t="shared" si="6"/>
        <v>0</v>
      </c>
      <c r="Y58" s="120">
        <f>'As-Filed Schedule 2F'!O58</f>
        <v>0</v>
      </c>
      <c r="Z58" s="313">
        <f>SUMIFS(Adjustments!$G:$G,Adjustments!$H:$H,"2F",Adjustments!$I:$I,'Schedule 2F Adjustments'!$Y$12,Adjustments!$J:$J,'Schedule 2F Adjustments'!$A58)</f>
        <v>0</v>
      </c>
      <c r="AA58" s="309">
        <f t="shared" si="7"/>
        <v>0</v>
      </c>
    </row>
    <row r="59" spans="1:27" x14ac:dyDescent="0.35">
      <c r="A59" s="24">
        <v>45</v>
      </c>
      <c r="B59" s="507" t="str">
        <f>IF('As-Filed Schedule 2F'!B59:D59=0,"",'As-Filed Schedule 2F'!B59:D59)</f>
        <v/>
      </c>
      <c r="C59" s="507"/>
      <c r="D59" s="507"/>
      <c r="F59" s="117">
        <f>'As-Filed Schedule 2F'!F59</f>
        <v>0</v>
      </c>
      <c r="G59" s="313">
        <f>SUMIFS(Adjustments!$G:$G,Adjustments!$H:$H,"2F",Adjustments!$I:$I,'Schedule 2F Adjustments'!$F$12,Adjustments!$J:$J,'Schedule 2F Adjustments'!$A59)</f>
        <v>0</v>
      </c>
      <c r="H59" s="309">
        <f t="shared" si="0"/>
        <v>0</v>
      </c>
      <c r="I59" s="68">
        <f>IFERROR(F59*'As-Filed Schedule 1'!$E$103,0)</f>
        <v>0</v>
      </c>
      <c r="J59" s="310">
        <f>IFERROR(H59*'Adjusted Schedule 1'!$E$104,0)</f>
        <v>0</v>
      </c>
      <c r="K59" s="68">
        <f t="shared" si="1"/>
        <v>0</v>
      </c>
      <c r="L59" s="310">
        <f t="shared" si="2"/>
        <v>0</v>
      </c>
      <c r="N59" s="117">
        <f>'As-Filed Schedule 2F'!J59</f>
        <v>0</v>
      </c>
      <c r="O59" s="313">
        <f>SUMIFS(Adjustments!$G:$G,Adjustments!$H:$H,"2F",Adjustments!$I:$I,'Schedule 2F Adjustments'!$N$12,Adjustments!$J:$J,'Schedule 2F Adjustments'!$A59)</f>
        <v>0</v>
      </c>
      <c r="P59" s="309">
        <f t="shared" si="3"/>
        <v>0</v>
      </c>
      <c r="Q59" s="68">
        <f>IFERROR(N59*'As-Filed Schedule 1'!$E$103,0)</f>
        <v>0</v>
      </c>
      <c r="R59" s="68">
        <f>IFERROR(P59*'Adjusted Schedule 1'!$E$104,0)</f>
        <v>0</v>
      </c>
      <c r="S59" s="68">
        <f t="shared" si="4"/>
        <v>0</v>
      </c>
      <c r="T59" s="310">
        <f t="shared" si="5"/>
        <v>0</v>
      </c>
      <c r="V59" s="120">
        <f>'As-Filed Schedule 2F'!N59</f>
        <v>0</v>
      </c>
      <c r="W59" s="313">
        <f>SUMIFS(Adjustments!$G:$G,Adjustments!$H:$H,"2F",Adjustments!$I:$I,'Schedule 2F Adjustments'!$V$12,Adjustments!$J:$J,'Schedule 2F Adjustments'!$A59)</f>
        <v>0</v>
      </c>
      <c r="X59" s="309">
        <f t="shared" si="6"/>
        <v>0</v>
      </c>
      <c r="Y59" s="120">
        <f>'As-Filed Schedule 2F'!O59</f>
        <v>0</v>
      </c>
      <c r="Z59" s="313">
        <f>SUMIFS(Adjustments!$G:$G,Adjustments!$H:$H,"2F",Adjustments!$I:$I,'Schedule 2F Adjustments'!$Y$12,Adjustments!$J:$J,'Schedule 2F Adjustments'!$A59)</f>
        <v>0</v>
      </c>
      <c r="AA59" s="309">
        <f t="shared" si="7"/>
        <v>0</v>
      </c>
    </row>
    <row r="60" spans="1:27" x14ac:dyDescent="0.35">
      <c r="A60" s="24">
        <v>46</v>
      </c>
      <c r="B60" s="507" t="str">
        <f>IF('As-Filed Schedule 2F'!B60:D60=0,"",'As-Filed Schedule 2F'!B60:D60)</f>
        <v/>
      </c>
      <c r="C60" s="507"/>
      <c r="D60" s="507"/>
      <c r="F60" s="117">
        <f>'As-Filed Schedule 2F'!F60</f>
        <v>0</v>
      </c>
      <c r="G60" s="313">
        <f>SUMIFS(Adjustments!$G:$G,Adjustments!$H:$H,"2F",Adjustments!$I:$I,'Schedule 2F Adjustments'!$F$12,Adjustments!$J:$J,'Schedule 2F Adjustments'!$A60)</f>
        <v>0</v>
      </c>
      <c r="H60" s="309">
        <f t="shared" si="0"/>
        <v>0</v>
      </c>
      <c r="I60" s="68">
        <f>IFERROR(F60*'As-Filed Schedule 1'!$E$103,0)</f>
        <v>0</v>
      </c>
      <c r="J60" s="310">
        <f>IFERROR(H60*'Adjusted Schedule 1'!$E$104,0)</f>
        <v>0</v>
      </c>
      <c r="K60" s="68">
        <f t="shared" si="1"/>
        <v>0</v>
      </c>
      <c r="L60" s="310">
        <f t="shared" si="2"/>
        <v>0</v>
      </c>
      <c r="N60" s="117">
        <f>'As-Filed Schedule 2F'!J60</f>
        <v>0</v>
      </c>
      <c r="O60" s="313">
        <f>SUMIFS(Adjustments!$G:$G,Adjustments!$H:$H,"2F",Adjustments!$I:$I,'Schedule 2F Adjustments'!$N$12,Adjustments!$J:$J,'Schedule 2F Adjustments'!$A60)</f>
        <v>0</v>
      </c>
      <c r="P60" s="309">
        <f t="shared" si="3"/>
        <v>0</v>
      </c>
      <c r="Q60" s="68">
        <f>IFERROR(N60*'As-Filed Schedule 1'!$E$103,0)</f>
        <v>0</v>
      </c>
      <c r="R60" s="68">
        <f>IFERROR(P60*'Adjusted Schedule 1'!$E$104,0)</f>
        <v>0</v>
      </c>
      <c r="S60" s="68">
        <f t="shared" si="4"/>
        <v>0</v>
      </c>
      <c r="T60" s="310">
        <f t="shared" si="5"/>
        <v>0</v>
      </c>
      <c r="V60" s="120">
        <f>'As-Filed Schedule 2F'!N60</f>
        <v>0</v>
      </c>
      <c r="W60" s="313">
        <f>SUMIFS(Adjustments!$G:$G,Adjustments!$H:$H,"2F",Adjustments!$I:$I,'Schedule 2F Adjustments'!$V$12,Adjustments!$J:$J,'Schedule 2F Adjustments'!$A60)</f>
        <v>0</v>
      </c>
      <c r="X60" s="309">
        <f t="shared" si="6"/>
        <v>0</v>
      </c>
      <c r="Y60" s="120">
        <f>'As-Filed Schedule 2F'!O60</f>
        <v>0</v>
      </c>
      <c r="Z60" s="313">
        <f>SUMIFS(Adjustments!$G:$G,Adjustments!$H:$H,"2F",Adjustments!$I:$I,'Schedule 2F Adjustments'!$Y$12,Adjustments!$J:$J,'Schedule 2F Adjustments'!$A60)</f>
        <v>0</v>
      </c>
      <c r="AA60" s="309">
        <f t="shared" si="7"/>
        <v>0</v>
      </c>
    </row>
    <row r="61" spans="1:27" x14ac:dyDescent="0.35">
      <c r="A61" s="24">
        <v>47</v>
      </c>
      <c r="B61" s="507" t="str">
        <f>IF('As-Filed Schedule 2F'!B61:D61=0,"",'As-Filed Schedule 2F'!B61:D61)</f>
        <v/>
      </c>
      <c r="C61" s="507"/>
      <c r="D61" s="507"/>
      <c r="F61" s="117">
        <f>'As-Filed Schedule 2F'!F61</f>
        <v>0</v>
      </c>
      <c r="G61" s="313">
        <f>SUMIFS(Adjustments!$G:$G,Adjustments!$H:$H,"2F",Adjustments!$I:$I,'Schedule 2F Adjustments'!$F$12,Adjustments!$J:$J,'Schedule 2F Adjustments'!$A61)</f>
        <v>0</v>
      </c>
      <c r="H61" s="309">
        <f t="shared" si="0"/>
        <v>0</v>
      </c>
      <c r="I61" s="68">
        <f>IFERROR(F61*'As-Filed Schedule 1'!$E$103,0)</f>
        <v>0</v>
      </c>
      <c r="J61" s="310">
        <f>IFERROR(H61*'Adjusted Schedule 1'!$E$104,0)</f>
        <v>0</v>
      </c>
      <c r="K61" s="68">
        <f t="shared" si="1"/>
        <v>0</v>
      </c>
      <c r="L61" s="310">
        <f t="shared" si="2"/>
        <v>0</v>
      </c>
      <c r="N61" s="117">
        <f>'As-Filed Schedule 2F'!J61</f>
        <v>0</v>
      </c>
      <c r="O61" s="313">
        <f>SUMIFS(Adjustments!$G:$G,Adjustments!$H:$H,"2F",Adjustments!$I:$I,'Schedule 2F Adjustments'!$N$12,Adjustments!$J:$J,'Schedule 2F Adjustments'!$A61)</f>
        <v>0</v>
      </c>
      <c r="P61" s="309">
        <f t="shared" si="3"/>
        <v>0</v>
      </c>
      <c r="Q61" s="68">
        <f>IFERROR(N61*'As-Filed Schedule 1'!$E$103,0)</f>
        <v>0</v>
      </c>
      <c r="R61" s="68">
        <f>IFERROR(P61*'Adjusted Schedule 1'!$E$104,0)</f>
        <v>0</v>
      </c>
      <c r="S61" s="68">
        <f t="shared" si="4"/>
        <v>0</v>
      </c>
      <c r="T61" s="310">
        <f t="shared" si="5"/>
        <v>0</v>
      </c>
      <c r="V61" s="120">
        <f>'As-Filed Schedule 2F'!N61</f>
        <v>0</v>
      </c>
      <c r="W61" s="313">
        <f>SUMIFS(Adjustments!$G:$G,Adjustments!$H:$H,"2F",Adjustments!$I:$I,'Schedule 2F Adjustments'!$V$12,Adjustments!$J:$J,'Schedule 2F Adjustments'!$A61)</f>
        <v>0</v>
      </c>
      <c r="X61" s="309">
        <f t="shared" si="6"/>
        <v>0</v>
      </c>
      <c r="Y61" s="120">
        <f>'As-Filed Schedule 2F'!O61</f>
        <v>0</v>
      </c>
      <c r="Z61" s="313">
        <f>SUMIFS(Adjustments!$G:$G,Adjustments!$H:$H,"2F",Adjustments!$I:$I,'Schedule 2F Adjustments'!$Y$12,Adjustments!$J:$J,'Schedule 2F Adjustments'!$A61)</f>
        <v>0</v>
      </c>
      <c r="AA61" s="309">
        <f t="shared" si="7"/>
        <v>0</v>
      </c>
    </row>
    <row r="62" spans="1:27" x14ac:dyDescent="0.35">
      <c r="A62" s="24">
        <v>48</v>
      </c>
      <c r="B62" s="507" t="str">
        <f>IF('As-Filed Schedule 2F'!B62:D62=0,"",'As-Filed Schedule 2F'!B62:D62)</f>
        <v/>
      </c>
      <c r="C62" s="507"/>
      <c r="D62" s="507"/>
      <c r="F62" s="117">
        <f>'As-Filed Schedule 2F'!F62</f>
        <v>0</v>
      </c>
      <c r="G62" s="313">
        <f>SUMIFS(Adjustments!$G:$G,Adjustments!$H:$H,"2F",Adjustments!$I:$I,'Schedule 2F Adjustments'!$F$12,Adjustments!$J:$J,'Schedule 2F Adjustments'!$A62)</f>
        <v>0</v>
      </c>
      <c r="H62" s="309">
        <f t="shared" si="0"/>
        <v>0</v>
      </c>
      <c r="I62" s="68">
        <f>IFERROR(F62*'As-Filed Schedule 1'!$E$103,0)</f>
        <v>0</v>
      </c>
      <c r="J62" s="310">
        <f>IFERROR(H62*'Adjusted Schedule 1'!$E$104,0)</f>
        <v>0</v>
      </c>
      <c r="K62" s="68">
        <f t="shared" si="1"/>
        <v>0</v>
      </c>
      <c r="L62" s="310">
        <f t="shared" si="2"/>
        <v>0</v>
      </c>
      <c r="N62" s="117">
        <f>'As-Filed Schedule 2F'!J62</f>
        <v>0</v>
      </c>
      <c r="O62" s="313">
        <f>SUMIFS(Adjustments!$G:$G,Adjustments!$H:$H,"2F",Adjustments!$I:$I,'Schedule 2F Adjustments'!$N$12,Adjustments!$J:$J,'Schedule 2F Adjustments'!$A62)</f>
        <v>0</v>
      </c>
      <c r="P62" s="309">
        <f t="shared" si="3"/>
        <v>0</v>
      </c>
      <c r="Q62" s="68">
        <f>IFERROR(N62*'As-Filed Schedule 1'!$E$103,0)</f>
        <v>0</v>
      </c>
      <c r="R62" s="68">
        <f>IFERROR(P62*'Adjusted Schedule 1'!$E$104,0)</f>
        <v>0</v>
      </c>
      <c r="S62" s="68">
        <f t="shared" si="4"/>
        <v>0</v>
      </c>
      <c r="T62" s="310">
        <f t="shared" si="5"/>
        <v>0</v>
      </c>
      <c r="V62" s="120">
        <f>'As-Filed Schedule 2F'!N62</f>
        <v>0</v>
      </c>
      <c r="W62" s="313">
        <f>SUMIFS(Adjustments!$G:$G,Adjustments!$H:$H,"2F",Adjustments!$I:$I,'Schedule 2F Adjustments'!$V$12,Adjustments!$J:$J,'Schedule 2F Adjustments'!$A62)</f>
        <v>0</v>
      </c>
      <c r="X62" s="309">
        <f t="shared" si="6"/>
        <v>0</v>
      </c>
      <c r="Y62" s="120">
        <f>'As-Filed Schedule 2F'!O62</f>
        <v>0</v>
      </c>
      <c r="Z62" s="313">
        <f>SUMIFS(Adjustments!$G:$G,Adjustments!$H:$H,"2F",Adjustments!$I:$I,'Schedule 2F Adjustments'!$Y$12,Adjustments!$J:$J,'Schedule 2F Adjustments'!$A62)</f>
        <v>0</v>
      </c>
      <c r="AA62" s="309">
        <f t="shared" si="7"/>
        <v>0</v>
      </c>
    </row>
    <row r="63" spans="1:27" x14ac:dyDescent="0.35">
      <c r="A63" s="24">
        <v>49</v>
      </c>
      <c r="B63" s="507" t="str">
        <f>IF('As-Filed Schedule 2F'!B63:D63=0,"",'As-Filed Schedule 2F'!B63:D63)</f>
        <v/>
      </c>
      <c r="C63" s="507"/>
      <c r="D63" s="507"/>
      <c r="F63" s="117">
        <f>'As-Filed Schedule 2F'!F63</f>
        <v>0</v>
      </c>
      <c r="G63" s="313">
        <f>SUMIFS(Adjustments!$G:$G,Adjustments!$H:$H,"2F",Adjustments!$I:$I,'Schedule 2F Adjustments'!$F$12,Adjustments!$J:$J,'Schedule 2F Adjustments'!$A63)</f>
        <v>0</v>
      </c>
      <c r="H63" s="309">
        <f t="shared" si="0"/>
        <v>0</v>
      </c>
      <c r="I63" s="68">
        <f>IFERROR(F63*'As-Filed Schedule 1'!$E$103,0)</f>
        <v>0</v>
      </c>
      <c r="J63" s="310">
        <f>IFERROR(H63*'Adjusted Schedule 1'!$E$104,0)</f>
        <v>0</v>
      </c>
      <c r="K63" s="68">
        <f t="shared" si="1"/>
        <v>0</v>
      </c>
      <c r="L63" s="310">
        <f t="shared" si="2"/>
        <v>0</v>
      </c>
      <c r="N63" s="117">
        <f>'As-Filed Schedule 2F'!J63</f>
        <v>0</v>
      </c>
      <c r="O63" s="313">
        <f>SUMIFS(Adjustments!$G:$G,Adjustments!$H:$H,"2F",Adjustments!$I:$I,'Schedule 2F Adjustments'!$N$12,Adjustments!$J:$J,'Schedule 2F Adjustments'!$A63)</f>
        <v>0</v>
      </c>
      <c r="P63" s="309">
        <f t="shared" si="3"/>
        <v>0</v>
      </c>
      <c r="Q63" s="68">
        <f>IFERROR(N63*'As-Filed Schedule 1'!$E$103,0)</f>
        <v>0</v>
      </c>
      <c r="R63" s="68">
        <f>IFERROR(P63*'Adjusted Schedule 1'!$E$104,0)</f>
        <v>0</v>
      </c>
      <c r="S63" s="68">
        <f t="shared" si="4"/>
        <v>0</v>
      </c>
      <c r="T63" s="310">
        <f t="shared" si="5"/>
        <v>0</v>
      </c>
      <c r="V63" s="120">
        <f>'As-Filed Schedule 2F'!N63</f>
        <v>0</v>
      </c>
      <c r="W63" s="313">
        <f>SUMIFS(Adjustments!$G:$G,Adjustments!$H:$H,"2F",Adjustments!$I:$I,'Schedule 2F Adjustments'!$V$12,Adjustments!$J:$J,'Schedule 2F Adjustments'!$A63)</f>
        <v>0</v>
      </c>
      <c r="X63" s="309">
        <f t="shared" si="6"/>
        <v>0</v>
      </c>
      <c r="Y63" s="120">
        <f>'As-Filed Schedule 2F'!O63</f>
        <v>0</v>
      </c>
      <c r="Z63" s="313">
        <f>SUMIFS(Adjustments!$G:$G,Adjustments!$H:$H,"2F",Adjustments!$I:$I,'Schedule 2F Adjustments'!$Y$12,Adjustments!$J:$J,'Schedule 2F Adjustments'!$A63)</f>
        <v>0</v>
      </c>
      <c r="AA63" s="309">
        <f t="shared" si="7"/>
        <v>0</v>
      </c>
    </row>
    <row r="64" spans="1:27" x14ac:dyDescent="0.35">
      <c r="A64" s="24">
        <v>50</v>
      </c>
      <c r="B64" s="507" t="str">
        <f>IF('As-Filed Schedule 2F'!B64:D64=0,"",'As-Filed Schedule 2F'!B64:D64)</f>
        <v/>
      </c>
      <c r="C64" s="507"/>
      <c r="D64" s="507"/>
      <c r="F64" s="117">
        <f>'As-Filed Schedule 2F'!F64</f>
        <v>0</v>
      </c>
      <c r="G64" s="313">
        <f>SUMIFS(Adjustments!$G:$G,Adjustments!$H:$H,"2F",Adjustments!$I:$I,'Schedule 2F Adjustments'!$F$12,Adjustments!$J:$J,'Schedule 2F Adjustments'!$A64)</f>
        <v>0</v>
      </c>
      <c r="H64" s="309">
        <f t="shared" si="0"/>
        <v>0</v>
      </c>
      <c r="I64" s="68">
        <f>IFERROR(F64*'As-Filed Schedule 1'!$E$103,0)</f>
        <v>0</v>
      </c>
      <c r="J64" s="310">
        <f>IFERROR(H64*'Adjusted Schedule 1'!$E$104,0)</f>
        <v>0</v>
      </c>
      <c r="K64" s="68">
        <f t="shared" si="1"/>
        <v>0</v>
      </c>
      <c r="L64" s="310">
        <f t="shared" si="2"/>
        <v>0</v>
      </c>
      <c r="N64" s="117">
        <f>'As-Filed Schedule 2F'!J64</f>
        <v>0</v>
      </c>
      <c r="O64" s="313">
        <f>SUMIFS(Adjustments!$G:$G,Adjustments!$H:$H,"2F",Adjustments!$I:$I,'Schedule 2F Adjustments'!$N$12,Adjustments!$J:$J,'Schedule 2F Adjustments'!$A64)</f>
        <v>0</v>
      </c>
      <c r="P64" s="309">
        <f t="shared" si="3"/>
        <v>0</v>
      </c>
      <c r="Q64" s="68">
        <f>IFERROR(N64*'As-Filed Schedule 1'!$E$103,0)</f>
        <v>0</v>
      </c>
      <c r="R64" s="68">
        <f>IFERROR(P64*'Adjusted Schedule 1'!$E$104,0)</f>
        <v>0</v>
      </c>
      <c r="S64" s="68">
        <f t="shared" si="4"/>
        <v>0</v>
      </c>
      <c r="T64" s="310">
        <f t="shared" si="5"/>
        <v>0</v>
      </c>
      <c r="V64" s="120">
        <f>'As-Filed Schedule 2F'!N64</f>
        <v>0</v>
      </c>
      <c r="W64" s="313">
        <f>SUMIFS(Adjustments!$G:$G,Adjustments!$H:$H,"2F",Adjustments!$I:$I,'Schedule 2F Adjustments'!$V$12,Adjustments!$J:$J,'Schedule 2F Adjustments'!$A64)</f>
        <v>0</v>
      </c>
      <c r="X64" s="309">
        <f t="shared" si="6"/>
        <v>0</v>
      </c>
      <c r="Y64" s="120">
        <f>'As-Filed Schedule 2F'!O64</f>
        <v>0</v>
      </c>
      <c r="Z64" s="313">
        <f>SUMIFS(Adjustments!$G:$G,Adjustments!$H:$H,"2F",Adjustments!$I:$I,'Schedule 2F Adjustments'!$Y$12,Adjustments!$J:$J,'Schedule 2F Adjustments'!$A64)</f>
        <v>0</v>
      </c>
      <c r="AA64" s="309">
        <f t="shared" si="7"/>
        <v>0</v>
      </c>
    </row>
    <row r="65" spans="1:27" x14ac:dyDescent="0.35">
      <c r="A65" s="24">
        <v>51</v>
      </c>
      <c r="B65" s="507" t="str">
        <f>IF('As-Filed Schedule 2F'!B65:D65=0,"",'As-Filed Schedule 2F'!B65:D65)</f>
        <v/>
      </c>
      <c r="C65" s="507"/>
      <c r="D65" s="507"/>
      <c r="F65" s="117">
        <f>'As-Filed Schedule 2F'!F65</f>
        <v>0</v>
      </c>
      <c r="G65" s="313">
        <f>SUMIFS(Adjustments!$G:$G,Adjustments!$H:$H,"2F",Adjustments!$I:$I,'Schedule 2F Adjustments'!$F$12,Adjustments!$J:$J,'Schedule 2F Adjustments'!$A65)</f>
        <v>0</v>
      </c>
      <c r="H65" s="309">
        <f t="shared" si="0"/>
        <v>0</v>
      </c>
      <c r="I65" s="68">
        <f>IFERROR(F65*'As-Filed Schedule 1'!$E$103,0)</f>
        <v>0</v>
      </c>
      <c r="J65" s="310">
        <f>IFERROR(H65*'Adjusted Schedule 1'!$E$104,0)</f>
        <v>0</v>
      </c>
      <c r="K65" s="68">
        <f t="shared" si="1"/>
        <v>0</v>
      </c>
      <c r="L65" s="310">
        <f t="shared" si="2"/>
        <v>0</v>
      </c>
      <c r="N65" s="117">
        <f>'As-Filed Schedule 2F'!J65</f>
        <v>0</v>
      </c>
      <c r="O65" s="313">
        <f>SUMIFS(Adjustments!$G:$G,Adjustments!$H:$H,"2F",Adjustments!$I:$I,'Schedule 2F Adjustments'!$N$12,Adjustments!$J:$J,'Schedule 2F Adjustments'!$A65)</f>
        <v>0</v>
      </c>
      <c r="P65" s="309">
        <f t="shared" si="3"/>
        <v>0</v>
      </c>
      <c r="Q65" s="68">
        <f>IFERROR(N65*'As-Filed Schedule 1'!$E$103,0)</f>
        <v>0</v>
      </c>
      <c r="R65" s="68">
        <f>IFERROR(P65*'Adjusted Schedule 1'!$E$104,0)</f>
        <v>0</v>
      </c>
      <c r="S65" s="68">
        <f t="shared" si="4"/>
        <v>0</v>
      </c>
      <c r="T65" s="310">
        <f t="shared" si="5"/>
        <v>0</v>
      </c>
      <c r="V65" s="120">
        <f>'As-Filed Schedule 2F'!N65</f>
        <v>0</v>
      </c>
      <c r="W65" s="313">
        <f>SUMIFS(Adjustments!$G:$G,Adjustments!$H:$H,"2F",Adjustments!$I:$I,'Schedule 2F Adjustments'!$V$12,Adjustments!$J:$J,'Schedule 2F Adjustments'!$A65)</f>
        <v>0</v>
      </c>
      <c r="X65" s="309">
        <f t="shared" si="6"/>
        <v>0</v>
      </c>
      <c r="Y65" s="120">
        <f>'As-Filed Schedule 2F'!O65</f>
        <v>0</v>
      </c>
      <c r="Z65" s="313">
        <f>SUMIFS(Adjustments!$G:$G,Adjustments!$H:$H,"2F",Adjustments!$I:$I,'Schedule 2F Adjustments'!$Y$12,Adjustments!$J:$J,'Schedule 2F Adjustments'!$A65)</f>
        <v>0</v>
      </c>
      <c r="AA65" s="309">
        <f t="shared" si="7"/>
        <v>0</v>
      </c>
    </row>
    <row r="66" spans="1:27" x14ac:dyDescent="0.35">
      <c r="A66" s="24">
        <v>52</v>
      </c>
      <c r="B66" s="507" t="str">
        <f>IF('As-Filed Schedule 2F'!B66:D66=0,"",'As-Filed Schedule 2F'!B66:D66)</f>
        <v/>
      </c>
      <c r="C66" s="507"/>
      <c r="D66" s="507"/>
      <c r="F66" s="117">
        <f>'As-Filed Schedule 2F'!F66</f>
        <v>0</v>
      </c>
      <c r="G66" s="313">
        <f>SUMIFS(Adjustments!$G:$G,Adjustments!$H:$H,"2F",Adjustments!$I:$I,'Schedule 2F Adjustments'!$F$12,Adjustments!$J:$J,'Schedule 2F Adjustments'!$A66)</f>
        <v>0</v>
      </c>
      <c r="H66" s="309">
        <f t="shared" si="0"/>
        <v>0</v>
      </c>
      <c r="I66" s="68">
        <f>IFERROR(F66*'As-Filed Schedule 1'!$E$103,0)</f>
        <v>0</v>
      </c>
      <c r="J66" s="310">
        <f>IFERROR(H66*'Adjusted Schedule 1'!$E$104,0)</f>
        <v>0</v>
      </c>
      <c r="K66" s="68">
        <f t="shared" si="1"/>
        <v>0</v>
      </c>
      <c r="L66" s="310">
        <f t="shared" si="2"/>
        <v>0</v>
      </c>
      <c r="N66" s="117">
        <f>'As-Filed Schedule 2F'!J66</f>
        <v>0</v>
      </c>
      <c r="O66" s="313">
        <f>SUMIFS(Adjustments!$G:$G,Adjustments!$H:$H,"2F",Adjustments!$I:$I,'Schedule 2F Adjustments'!$N$12,Adjustments!$J:$J,'Schedule 2F Adjustments'!$A66)</f>
        <v>0</v>
      </c>
      <c r="P66" s="309">
        <f t="shared" si="3"/>
        <v>0</v>
      </c>
      <c r="Q66" s="68">
        <f>IFERROR(N66*'As-Filed Schedule 1'!$E$103,0)</f>
        <v>0</v>
      </c>
      <c r="R66" s="68">
        <f>IFERROR(P66*'Adjusted Schedule 1'!$E$104,0)</f>
        <v>0</v>
      </c>
      <c r="S66" s="68">
        <f t="shared" si="4"/>
        <v>0</v>
      </c>
      <c r="T66" s="310">
        <f t="shared" si="5"/>
        <v>0</v>
      </c>
      <c r="V66" s="120">
        <f>'As-Filed Schedule 2F'!N66</f>
        <v>0</v>
      </c>
      <c r="W66" s="313">
        <f>SUMIFS(Adjustments!$G:$G,Adjustments!$H:$H,"2F",Adjustments!$I:$I,'Schedule 2F Adjustments'!$V$12,Adjustments!$J:$J,'Schedule 2F Adjustments'!$A66)</f>
        <v>0</v>
      </c>
      <c r="X66" s="309">
        <f t="shared" si="6"/>
        <v>0</v>
      </c>
      <c r="Y66" s="120">
        <f>'As-Filed Schedule 2F'!O66</f>
        <v>0</v>
      </c>
      <c r="Z66" s="313">
        <f>SUMIFS(Adjustments!$G:$G,Adjustments!$H:$H,"2F",Adjustments!$I:$I,'Schedule 2F Adjustments'!$Y$12,Adjustments!$J:$J,'Schedule 2F Adjustments'!$A66)</f>
        <v>0</v>
      </c>
      <c r="AA66" s="309">
        <f t="shared" si="7"/>
        <v>0</v>
      </c>
    </row>
    <row r="67" spans="1:27" x14ac:dyDescent="0.35">
      <c r="A67" s="24">
        <v>53</v>
      </c>
      <c r="B67" s="507" t="str">
        <f>IF('As-Filed Schedule 2F'!B67:D67=0,"",'As-Filed Schedule 2F'!B67:D67)</f>
        <v/>
      </c>
      <c r="C67" s="507"/>
      <c r="D67" s="507"/>
      <c r="F67" s="117">
        <f>'As-Filed Schedule 2F'!F67</f>
        <v>0</v>
      </c>
      <c r="G67" s="313">
        <f>SUMIFS(Adjustments!$G:$G,Adjustments!$H:$H,"2F",Adjustments!$I:$I,'Schedule 2F Adjustments'!$F$12,Adjustments!$J:$J,'Schedule 2F Adjustments'!$A67)</f>
        <v>0</v>
      </c>
      <c r="H67" s="309">
        <f t="shared" si="0"/>
        <v>0</v>
      </c>
      <c r="I67" s="68">
        <f>IFERROR(F67*'As-Filed Schedule 1'!$E$103,0)</f>
        <v>0</v>
      </c>
      <c r="J67" s="310">
        <f>IFERROR(H67*'Adjusted Schedule 1'!$E$104,0)</f>
        <v>0</v>
      </c>
      <c r="K67" s="68">
        <f t="shared" si="1"/>
        <v>0</v>
      </c>
      <c r="L67" s="310">
        <f t="shared" si="2"/>
        <v>0</v>
      </c>
      <c r="N67" s="117">
        <f>'As-Filed Schedule 2F'!J67</f>
        <v>0</v>
      </c>
      <c r="O67" s="313">
        <f>SUMIFS(Adjustments!$G:$G,Adjustments!$H:$H,"2F",Adjustments!$I:$I,'Schedule 2F Adjustments'!$N$12,Adjustments!$J:$J,'Schedule 2F Adjustments'!$A67)</f>
        <v>0</v>
      </c>
      <c r="P67" s="309">
        <f t="shared" si="3"/>
        <v>0</v>
      </c>
      <c r="Q67" s="68">
        <f>IFERROR(N67*'As-Filed Schedule 1'!$E$103,0)</f>
        <v>0</v>
      </c>
      <c r="R67" s="68">
        <f>IFERROR(P67*'Adjusted Schedule 1'!$E$104,0)</f>
        <v>0</v>
      </c>
      <c r="S67" s="68">
        <f t="shared" si="4"/>
        <v>0</v>
      </c>
      <c r="T67" s="310">
        <f t="shared" si="5"/>
        <v>0</v>
      </c>
      <c r="V67" s="120">
        <f>'As-Filed Schedule 2F'!N67</f>
        <v>0</v>
      </c>
      <c r="W67" s="313">
        <f>SUMIFS(Adjustments!$G:$G,Adjustments!$H:$H,"2F",Adjustments!$I:$I,'Schedule 2F Adjustments'!$V$12,Adjustments!$J:$J,'Schedule 2F Adjustments'!$A67)</f>
        <v>0</v>
      </c>
      <c r="X67" s="309">
        <f t="shared" si="6"/>
        <v>0</v>
      </c>
      <c r="Y67" s="120">
        <f>'As-Filed Schedule 2F'!O67</f>
        <v>0</v>
      </c>
      <c r="Z67" s="313">
        <f>SUMIFS(Adjustments!$G:$G,Adjustments!$H:$H,"2F",Adjustments!$I:$I,'Schedule 2F Adjustments'!$Y$12,Adjustments!$J:$J,'Schedule 2F Adjustments'!$A67)</f>
        <v>0</v>
      </c>
      <c r="AA67" s="309">
        <f t="shared" si="7"/>
        <v>0</v>
      </c>
    </row>
    <row r="68" spans="1:27" x14ac:dyDescent="0.35">
      <c r="A68" s="24">
        <v>54</v>
      </c>
      <c r="B68" s="507" t="str">
        <f>IF('As-Filed Schedule 2F'!B68:D68=0,"",'As-Filed Schedule 2F'!B68:D68)</f>
        <v/>
      </c>
      <c r="C68" s="507"/>
      <c r="D68" s="507"/>
      <c r="F68" s="117">
        <f>'As-Filed Schedule 2F'!F68</f>
        <v>0</v>
      </c>
      <c r="G68" s="313">
        <f>SUMIFS(Adjustments!$G:$G,Adjustments!$H:$H,"2F",Adjustments!$I:$I,'Schedule 2F Adjustments'!$F$12,Adjustments!$J:$J,'Schedule 2F Adjustments'!$A68)</f>
        <v>0</v>
      </c>
      <c r="H68" s="309">
        <f t="shared" si="0"/>
        <v>0</v>
      </c>
      <c r="I68" s="68">
        <f>IFERROR(F68*'As-Filed Schedule 1'!$E$103,0)</f>
        <v>0</v>
      </c>
      <c r="J68" s="310">
        <f>IFERROR(H68*'Adjusted Schedule 1'!$E$104,0)</f>
        <v>0</v>
      </c>
      <c r="K68" s="68">
        <f t="shared" si="1"/>
        <v>0</v>
      </c>
      <c r="L68" s="310">
        <f t="shared" si="2"/>
        <v>0</v>
      </c>
      <c r="N68" s="117">
        <f>'As-Filed Schedule 2F'!J68</f>
        <v>0</v>
      </c>
      <c r="O68" s="313">
        <f>SUMIFS(Adjustments!$G:$G,Adjustments!$H:$H,"2F",Adjustments!$I:$I,'Schedule 2F Adjustments'!$N$12,Adjustments!$J:$J,'Schedule 2F Adjustments'!$A68)</f>
        <v>0</v>
      </c>
      <c r="P68" s="309">
        <f t="shared" si="3"/>
        <v>0</v>
      </c>
      <c r="Q68" s="68">
        <f>IFERROR(N68*'As-Filed Schedule 1'!$E$103,0)</f>
        <v>0</v>
      </c>
      <c r="R68" s="68">
        <f>IFERROR(P68*'Adjusted Schedule 1'!$E$104,0)</f>
        <v>0</v>
      </c>
      <c r="S68" s="68">
        <f t="shared" si="4"/>
        <v>0</v>
      </c>
      <c r="T68" s="310">
        <f t="shared" si="5"/>
        <v>0</v>
      </c>
      <c r="V68" s="120">
        <f>'As-Filed Schedule 2F'!N68</f>
        <v>0</v>
      </c>
      <c r="W68" s="313">
        <f>SUMIFS(Adjustments!$G:$G,Adjustments!$H:$H,"2F",Adjustments!$I:$I,'Schedule 2F Adjustments'!$V$12,Adjustments!$J:$J,'Schedule 2F Adjustments'!$A68)</f>
        <v>0</v>
      </c>
      <c r="X68" s="309">
        <f t="shared" si="6"/>
        <v>0</v>
      </c>
      <c r="Y68" s="120">
        <f>'As-Filed Schedule 2F'!O68</f>
        <v>0</v>
      </c>
      <c r="Z68" s="313">
        <f>SUMIFS(Adjustments!$G:$G,Adjustments!$H:$H,"2F",Adjustments!$I:$I,'Schedule 2F Adjustments'!$Y$12,Adjustments!$J:$J,'Schedule 2F Adjustments'!$A68)</f>
        <v>0</v>
      </c>
      <c r="AA68" s="309">
        <f t="shared" si="7"/>
        <v>0</v>
      </c>
    </row>
    <row r="69" spans="1:27" x14ac:dyDescent="0.35">
      <c r="A69" s="24">
        <v>55</v>
      </c>
      <c r="B69" s="507" t="str">
        <f>IF('As-Filed Schedule 2F'!B69:D69=0,"",'As-Filed Schedule 2F'!B69:D69)</f>
        <v/>
      </c>
      <c r="C69" s="507"/>
      <c r="D69" s="507"/>
      <c r="F69" s="117">
        <f>'As-Filed Schedule 2F'!F69</f>
        <v>0</v>
      </c>
      <c r="G69" s="313">
        <f>SUMIFS(Adjustments!$G:$G,Adjustments!$H:$H,"2F",Adjustments!$I:$I,'Schedule 2F Adjustments'!$F$12,Adjustments!$J:$J,'Schedule 2F Adjustments'!$A69)</f>
        <v>0</v>
      </c>
      <c r="H69" s="309">
        <f t="shared" si="0"/>
        <v>0</v>
      </c>
      <c r="I69" s="68">
        <f>IFERROR(F69*'As-Filed Schedule 1'!$E$103,0)</f>
        <v>0</v>
      </c>
      <c r="J69" s="310">
        <f>IFERROR(H69*'Adjusted Schedule 1'!$E$104,0)</f>
        <v>0</v>
      </c>
      <c r="K69" s="68">
        <f t="shared" si="1"/>
        <v>0</v>
      </c>
      <c r="L69" s="310">
        <f t="shared" si="2"/>
        <v>0</v>
      </c>
      <c r="N69" s="117">
        <f>'As-Filed Schedule 2F'!J69</f>
        <v>0</v>
      </c>
      <c r="O69" s="313">
        <f>SUMIFS(Adjustments!$G:$G,Adjustments!$H:$H,"2F",Adjustments!$I:$I,'Schedule 2F Adjustments'!$N$12,Adjustments!$J:$J,'Schedule 2F Adjustments'!$A69)</f>
        <v>0</v>
      </c>
      <c r="P69" s="309">
        <f t="shared" si="3"/>
        <v>0</v>
      </c>
      <c r="Q69" s="68">
        <f>IFERROR(N69*'As-Filed Schedule 1'!$E$103,0)</f>
        <v>0</v>
      </c>
      <c r="R69" s="68">
        <f>IFERROR(P69*'Adjusted Schedule 1'!$E$104,0)</f>
        <v>0</v>
      </c>
      <c r="S69" s="68">
        <f t="shared" si="4"/>
        <v>0</v>
      </c>
      <c r="T69" s="310">
        <f t="shared" si="5"/>
        <v>0</v>
      </c>
      <c r="V69" s="120">
        <f>'As-Filed Schedule 2F'!N69</f>
        <v>0</v>
      </c>
      <c r="W69" s="313">
        <f>SUMIFS(Adjustments!$G:$G,Adjustments!$H:$H,"2F",Adjustments!$I:$I,'Schedule 2F Adjustments'!$V$12,Adjustments!$J:$J,'Schedule 2F Adjustments'!$A69)</f>
        <v>0</v>
      </c>
      <c r="X69" s="309">
        <f t="shared" si="6"/>
        <v>0</v>
      </c>
      <c r="Y69" s="120">
        <f>'As-Filed Schedule 2F'!O69</f>
        <v>0</v>
      </c>
      <c r="Z69" s="313">
        <f>SUMIFS(Adjustments!$G:$G,Adjustments!$H:$H,"2F",Adjustments!$I:$I,'Schedule 2F Adjustments'!$Y$12,Adjustments!$J:$J,'Schedule 2F Adjustments'!$A69)</f>
        <v>0</v>
      </c>
      <c r="AA69" s="309">
        <f t="shared" si="7"/>
        <v>0</v>
      </c>
    </row>
    <row r="70" spans="1:27" x14ac:dyDescent="0.35">
      <c r="A70" s="24">
        <v>56</v>
      </c>
      <c r="B70" s="507" t="str">
        <f>IF('As-Filed Schedule 2F'!B70:D70=0,"",'As-Filed Schedule 2F'!B70:D70)</f>
        <v/>
      </c>
      <c r="C70" s="507"/>
      <c r="D70" s="507"/>
      <c r="F70" s="117">
        <f>'As-Filed Schedule 2F'!F70</f>
        <v>0</v>
      </c>
      <c r="G70" s="313">
        <f>SUMIFS(Adjustments!$G:$G,Adjustments!$H:$H,"2F",Adjustments!$I:$I,'Schedule 2F Adjustments'!$F$12,Adjustments!$J:$J,'Schedule 2F Adjustments'!$A70)</f>
        <v>0</v>
      </c>
      <c r="H70" s="309">
        <f t="shared" si="0"/>
        <v>0</v>
      </c>
      <c r="I70" s="68">
        <f>IFERROR(F70*'As-Filed Schedule 1'!$E$103,0)</f>
        <v>0</v>
      </c>
      <c r="J70" s="310">
        <f>IFERROR(H70*'Adjusted Schedule 1'!$E$104,0)</f>
        <v>0</v>
      </c>
      <c r="K70" s="68">
        <f t="shared" si="1"/>
        <v>0</v>
      </c>
      <c r="L70" s="310">
        <f t="shared" si="2"/>
        <v>0</v>
      </c>
      <c r="N70" s="117">
        <f>'As-Filed Schedule 2F'!J70</f>
        <v>0</v>
      </c>
      <c r="O70" s="313">
        <f>SUMIFS(Adjustments!$G:$G,Adjustments!$H:$H,"2F",Adjustments!$I:$I,'Schedule 2F Adjustments'!$N$12,Adjustments!$J:$J,'Schedule 2F Adjustments'!$A70)</f>
        <v>0</v>
      </c>
      <c r="P70" s="309">
        <f t="shared" si="3"/>
        <v>0</v>
      </c>
      <c r="Q70" s="68">
        <f>IFERROR(N70*'As-Filed Schedule 1'!$E$103,0)</f>
        <v>0</v>
      </c>
      <c r="R70" s="68">
        <f>IFERROR(P70*'Adjusted Schedule 1'!$E$104,0)</f>
        <v>0</v>
      </c>
      <c r="S70" s="68">
        <f t="shared" si="4"/>
        <v>0</v>
      </c>
      <c r="T70" s="310">
        <f t="shared" si="5"/>
        <v>0</v>
      </c>
      <c r="V70" s="120">
        <f>'As-Filed Schedule 2F'!N70</f>
        <v>0</v>
      </c>
      <c r="W70" s="313">
        <f>SUMIFS(Adjustments!$G:$G,Adjustments!$H:$H,"2F",Adjustments!$I:$I,'Schedule 2F Adjustments'!$V$12,Adjustments!$J:$J,'Schedule 2F Adjustments'!$A70)</f>
        <v>0</v>
      </c>
      <c r="X70" s="309">
        <f t="shared" si="6"/>
        <v>0</v>
      </c>
      <c r="Y70" s="120">
        <f>'As-Filed Schedule 2F'!O70</f>
        <v>0</v>
      </c>
      <c r="Z70" s="313">
        <f>SUMIFS(Adjustments!$G:$G,Adjustments!$H:$H,"2F",Adjustments!$I:$I,'Schedule 2F Adjustments'!$Y$12,Adjustments!$J:$J,'Schedule 2F Adjustments'!$A70)</f>
        <v>0</v>
      </c>
      <c r="AA70" s="309">
        <f t="shared" si="7"/>
        <v>0</v>
      </c>
    </row>
    <row r="71" spans="1:27" x14ac:dyDescent="0.35">
      <c r="A71" s="24">
        <v>57</v>
      </c>
      <c r="B71" s="507" t="str">
        <f>IF('As-Filed Schedule 2F'!B71:D71=0,"",'As-Filed Schedule 2F'!B71:D71)</f>
        <v/>
      </c>
      <c r="C71" s="507"/>
      <c r="D71" s="507"/>
      <c r="F71" s="117">
        <f>'As-Filed Schedule 2F'!F71</f>
        <v>0</v>
      </c>
      <c r="G71" s="313">
        <f>SUMIFS(Adjustments!$G:$G,Adjustments!$H:$H,"2F",Adjustments!$I:$I,'Schedule 2F Adjustments'!$F$12,Adjustments!$J:$J,'Schedule 2F Adjustments'!$A71)</f>
        <v>0</v>
      </c>
      <c r="H71" s="309">
        <f t="shared" si="0"/>
        <v>0</v>
      </c>
      <c r="I71" s="68">
        <f>IFERROR(F71*'As-Filed Schedule 1'!$E$103,0)</f>
        <v>0</v>
      </c>
      <c r="J71" s="310">
        <f>IFERROR(H71*'Adjusted Schedule 1'!$E$104,0)</f>
        <v>0</v>
      </c>
      <c r="K71" s="68">
        <f t="shared" si="1"/>
        <v>0</v>
      </c>
      <c r="L71" s="310">
        <f t="shared" si="2"/>
        <v>0</v>
      </c>
      <c r="N71" s="117">
        <f>'As-Filed Schedule 2F'!J71</f>
        <v>0</v>
      </c>
      <c r="O71" s="313">
        <f>SUMIFS(Adjustments!$G:$G,Adjustments!$H:$H,"2F",Adjustments!$I:$I,'Schedule 2F Adjustments'!$N$12,Adjustments!$J:$J,'Schedule 2F Adjustments'!$A71)</f>
        <v>0</v>
      </c>
      <c r="P71" s="309">
        <f t="shared" si="3"/>
        <v>0</v>
      </c>
      <c r="Q71" s="68">
        <f>IFERROR(N71*'As-Filed Schedule 1'!$E$103,0)</f>
        <v>0</v>
      </c>
      <c r="R71" s="68">
        <f>IFERROR(P71*'Adjusted Schedule 1'!$E$104,0)</f>
        <v>0</v>
      </c>
      <c r="S71" s="68">
        <f t="shared" si="4"/>
        <v>0</v>
      </c>
      <c r="T71" s="310">
        <f t="shared" si="5"/>
        <v>0</v>
      </c>
      <c r="V71" s="120">
        <f>'As-Filed Schedule 2F'!N71</f>
        <v>0</v>
      </c>
      <c r="W71" s="313">
        <f>SUMIFS(Adjustments!$G:$G,Adjustments!$H:$H,"2F",Adjustments!$I:$I,'Schedule 2F Adjustments'!$V$12,Adjustments!$J:$J,'Schedule 2F Adjustments'!$A71)</f>
        <v>0</v>
      </c>
      <c r="X71" s="309">
        <f t="shared" si="6"/>
        <v>0</v>
      </c>
      <c r="Y71" s="120">
        <f>'As-Filed Schedule 2F'!O71</f>
        <v>0</v>
      </c>
      <c r="Z71" s="313">
        <f>SUMIFS(Adjustments!$G:$G,Adjustments!$H:$H,"2F",Adjustments!$I:$I,'Schedule 2F Adjustments'!$Y$12,Adjustments!$J:$J,'Schedule 2F Adjustments'!$A71)</f>
        <v>0</v>
      </c>
      <c r="AA71" s="309">
        <f t="shared" si="7"/>
        <v>0</v>
      </c>
    </row>
    <row r="72" spans="1:27" x14ac:dyDescent="0.35">
      <c r="A72" s="24">
        <v>58</v>
      </c>
      <c r="B72" s="507" t="str">
        <f>IF('As-Filed Schedule 2F'!B72:D72=0,"",'As-Filed Schedule 2F'!B72:D72)</f>
        <v/>
      </c>
      <c r="C72" s="507"/>
      <c r="D72" s="507"/>
      <c r="F72" s="117">
        <f>'As-Filed Schedule 2F'!F72</f>
        <v>0</v>
      </c>
      <c r="G72" s="313">
        <f>SUMIFS(Adjustments!$G:$G,Adjustments!$H:$H,"2F",Adjustments!$I:$I,'Schedule 2F Adjustments'!$F$12,Adjustments!$J:$J,'Schedule 2F Adjustments'!$A72)</f>
        <v>0</v>
      </c>
      <c r="H72" s="309">
        <f t="shared" si="0"/>
        <v>0</v>
      </c>
      <c r="I72" s="68">
        <f>IFERROR(F72*'As-Filed Schedule 1'!$E$103,0)</f>
        <v>0</v>
      </c>
      <c r="J72" s="310">
        <f>IFERROR(H72*'Adjusted Schedule 1'!$E$104,0)</f>
        <v>0</v>
      </c>
      <c r="K72" s="68">
        <f t="shared" si="1"/>
        <v>0</v>
      </c>
      <c r="L72" s="310">
        <f t="shared" si="2"/>
        <v>0</v>
      </c>
      <c r="N72" s="117">
        <f>'As-Filed Schedule 2F'!J72</f>
        <v>0</v>
      </c>
      <c r="O72" s="313">
        <f>SUMIFS(Adjustments!$G:$G,Adjustments!$H:$H,"2F",Adjustments!$I:$I,'Schedule 2F Adjustments'!$N$12,Adjustments!$J:$J,'Schedule 2F Adjustments'!$A72)</f>
        <v>0</v>
      </c>
      <c r="P72" s="309">
        <f t="shared" si="3"/>
        <v>0</v>
      </c>
      <c r="Q72" s="68">
        <f>IFERROR(N72*'As-Filed Schedule 1'!$E$103,0)</f>
        <v>0</v>
      </c>
      <c r="R72" s="68">
        <f>IFERROR(P72*'Adjusted Schedule 1'!$E$104,0)</f>
        <v>0</v>
      </c>
      <c r="S72" s="68">
        <f t="shared" si="4"/>
        <v>0</v>
      </c>
      <c r="T72" s="310">
        <f t="shared" si="5"/>
        <v>0</v>
      </c>
      <c r="V72" s="120">
        <f>'As-Filed Schedule 2F'!N72</f>
        <v>0</v>
      </c>
      <c r="W72" s="313">
        <f>SUMIFS(Adjustments!$G:$G,Adjustments!$H:$H,"2F",Adjustments!$I:$I,'Schedule 2F Adjustments'!$V$12,Adjustments!$J:$J,'Schedule 2F Adjustments'!$A72)</f>
        <v>0</v>
      </c>
      <c r="X72" s="309">
        <f t="shared" si="6"/>
        <v>0</v>
      </c>
      <c r="Y72" s="120">
        <f>'As-Filed Schedule 2F'!O72</f>
        <v>0</v>
      </c>
      <c r="Z72" s="313">
        <f>SUMIFS(Adjustments!$G:$G,Adjustments!$H:$H,"2F",Adjustments!$I:$I,'Schedule 2F Adjustments'!$Y$12,Adjustments!$J:$J,'Schedule 2F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841</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816</v>
      </c>
      <c r="C8" s="1"/>
      <c r="F8" s="119" t="str">
        <f>'As-Filed Schedule 2G'!F8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2G'!B15:D15=0,"",'As-Filed Schedule 2G'!B15:D15)</f>
        <v/>
      </c>
      <c r="C15" s="507"/>
      <c r="D15" s="507"/>
      <c r="F15" s="117">
        <f>'As-Filed Schedule 2G'!F15</f>
        <v>0</v>
      </c>
      <c r="G15" s="313">
        <f>SUMIFS(Adjustments!$G:$G,Adjustments!$H:$H,"2G",Adjustments!$I:$I,'Schedule 2G Adjustments'!$F$12,Adjustments!$J:$J,'Schedule 2G Adjustments'!$A15)</f>
        <v>0</v>
      </c>
      <c r="H15" s="309">
        <f>SUM(F15:G15)</f>
        <v>0</v>
      </c>
      <c r="I15" s="68">
        <f>IFERROR(F15*'As-Filed Schedule 1'!$E$103,0)</f>
        <v>0</v>
      </c>
      <c r="J15" s="310">
        <f>IFERROR(H15*'Adjusted Schedule 1'!$E$104,0)</f>
        <v>0</v>
      </c>
      <c r="K15" s="68">
        <f>SUM(F15,I15)</f>
        <v>0</v>
      </c>
      <c r="L15" s="310">
        <f>SUM(H15,J15)</f>
        <v>0</v>
      </c>
      <c r="N15" s="117">
        <f>'As-Filed Schedule 2G'!J15</f>
        <v>0</v>
      </c>
      <c r="O15" s="313">
        <f>SUMIFS(Adjustments!$G:$G,Adjustments!$H:$H,"2G",Adjustments!$I:$I,'Schedule 2G Adjustments'!$N$12,Adjustments!$J:$J,'Schedule 2G Adjustments'!$A15)</f>
        <v>0</v>
      </c>
      <c r="P15" s="309">
        <f>SUM(N15:O15)</f>
        <v>0</v>
      </c>
      <c r="Q15" s="68">
        <f>IFERROR(N15*'As-Filed Schedule 1'!$E$103,0)</f>
        <v>0</v>
      </c>
      <c r="R15" s="68">
        <f>IFERROR(P15*'Adjusted Schedule 1'!$E$104,0)</f>
        <v>0</v>
      </c>
      <c r="S15" s="68">
        <f>SUM(N15,Q15)</f>
        <v>0</v>
      </c>
      <c r="T15" s="310">
        <f>SUM(P15,R15)</f>
        <v>0</v>
      </c>
      <c r="V15" s="120">
        <f>'As-Filed Schedule 2G'!N15</f>
        <v>0</v>
      </c>
      <c r="W15" s="313">
        <f>SUMIFS(Adjustments!$G:$G,Adjustments!$H:$H,"2G",Adjustments!$I:$I,'Schedule 2G Adjustments'!$V$12,Adjustments!$J:$J,'Schedule 2G Adjustments'!$A15)</f>
        <v>0</v>
      </c>
      <c r="X15" s="309">
        <f>SUM(V15:W15)</f>
        <v>0</v>
      </c>
      <c r="Y15" s="120">
        <f>'As-Filed Schedule 2G'!O15</f>
        <v>0</v>
      </c>
      <c r="Z15" s="313">
        <f>SUMIFS(Adjustments!$G:$G,Adjustments!$H:$H,"2G",Adjustments!$I:$I,'Schedule 2G Adjustments'!$Y$12,Adjustments!$J:$J,'Schedule 2G Adjustments'!$A15)</f>
        <v>0</v>
      </c>
      <c r="AA15" s="309">
        <f>SUM(Y15:Z15)</f>
        <v>0</v>
      </c>
    </row>
    <row r="16" spans="1:27" x14ac:dyDescent="0.35">
      <c r="A16" s="24">
        <v>2</v>
      </c>
      <c r="B16" s="507" t="str">
        <f>IF('As-Filed Schedule 2G'!B16:D16=0,"",'As-Filed Schedule 2G'!B16:D16)</f>
        <v/>
      </c>
      <c r="C16" s="507"/>
      <c r="D16" s="507"/>
      <c r="F16" s="117">
        <f>'As-Filed Schedule 2G'!F16</f>
        <v>0</v>
      </c>
      <c r="G16" s="313">
        <f>SUMIFS(Adjustments!$G:$G,Adjustments!$H:$H,"2G",Adjustments!$I:$I,'Schedule 2G Adjustments'!$F$12,Adjustments!$J:$J,'Schedule 2G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2G'!J16</f>
        <v>0</v>
      </c>
      <c r="O16" s="313">
        <f>SUMIFS(Adjustments!$G:$G,Adjustments!$H:$H,"2G",Adjustments!$I:$I,'Schedule 2G Adjustments'!$N$12,Adjustments!$J:$J,'Schedule 2G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2G'!N16</f>
        <v>0</v>
      </c>
      <c r="W16" s="313">
        <f>SUMIFS(Adjustments!$G:$G,Adjustments!$H:$H,"2G",Adjustments!$I:$I,'Schedule 2G Adjustments'!$V$12,Adjustments!$J:$J,'Schedule 2G Adjustments'!$A16)</f>
        <v>0</v>
      </c>
      <c r="X16" s="309">
        <f t="shared" ref="X16:X72" si="6">SUM(V16:W16)</f>
        <v>0</v>
      </c>
      <c r="Y16" s="120">
        <f>'As-Filed Schedule 2G'!O16</f>
        <v>0</v>
      </c>
      <c r="Z16" s="313">
        <f>SUMIFS(Adjustments!$G:$G,Adjustments!$H:$H,"2G",Adjustments!$I:$I,'Schedule 2G Adjustments'!$Y$12,Adjustments!$J:$J,'Schedule 2G Adjustments'!$A16)</f>
        <v>0</v>
      </c>
      <c r="AA16" s="309">
        <f t="shared" ref="AA16:AA72" si="7">SUM(Y16:Z16)</f>
        <v>0</v>
      </c>
    </row>
    <row r="17" spans="1:27" x14ac:dyDescent="0.35">
      <c r="A17" s="24">
        <v>3</v>
      </c>
      <c r="B17" s="507" t="str">
        <f>IF('As-Filed Schedule 2G'!B17:D17=0,"",'As-Filed Schedule 2G'!B17:D17)</f>
        <v/>
      </c>
      <c r="C17" s="507"/>
      <c r="D17" s="507"/>
      <c r="F17" s="117">
        <f>'As-Filed Schedule 2G'!F17</f>
        <v>0</v>
      </c>
      <c r="G17" s="313">
        <f>SUMIFS(Adjustments!$G:$G,Adjustments!$H:$H,"2G",Adjustments!$I:$I,'Schedule 2G Adjustments'!$F$12,Adjustments!$J:$J,'Schedule 2G Adjustments'!$A17)</f>
        <v>0</v>
      </c>
      <c r="H17" s="309">
        <f t="shared" si="0"/>
        <v>0</v>
      </c>
      <c r="I17" s="68">
        <f>IFERROR(F17*'As-Filed Schedule 1'!$E$103,0)</f>
        <v>0</v>
      </c>
      <c r="J17" s="310">
        <f>IFERROR(H17*'Adjusted Schedule 1'!$E$104,0)</f>
        <v>0</v>
      </c>
      <c r="K17" s="68">
        <f t="shared" si="1"/>
        <v>0</v>
      </c>
      <c r="L17" s="310">
        <f t="shared" si="2"/>
        <v>0</v>
      </c>
      <c r="N17" s="117">
        <f>'As-Filed Schedule 2G'!J17</f>
        <v>0</v>
      </c>
      <c r="O17" s="313">
        <f>SUMIFS(Adjustments!$G:$G,Adjustments!$H:$H,"2G",Adjustments!$I:$I,'Schedule 2G Adjustments'!$N$12,Adjustments!$J:$J,'Schedule 2G Adjustments'!$A17)</f>
        <v>0</v>
      </c>
      <c r="P17" s="309">
        <f t="shared" si="3"/>
        <v>0</v>
      </c>
      <c r="Q17" s="68">
        <f>IFERROR(N17*'As-Filed Schedule 1'!$E$103,0)</f>
        <v>0</v>
      </c>
      <c r="R17" s="68">
        <f>IFERROR(P17*'Adjusted Schedule 1'!$E$104,0)</f>
        <v>0</v>
      </c>
      <c r="S17" s="68">
        <f t="shared" si="4"/>
        <v>0</v>
      </c>
      <c r="T17" s="310">
        <f t="shared" si="5"/>
        <v>0</v>
      </c>
      <c r="V17" s="120">
        <f>'As-Filed Schedule 2G'!N17</f>
        <v>0</v>
      </c>
      <c r="W17" s="313">
        <f>SUMIFS(Adjustments!$G:$G,Adjustments!$H:$H,"2G",Adjustments!$I:$I,'Schedule 2G Adjustments'!$V$12,Adjustments!$J:$J,'Schedule 2G Adjustments'!$A17)</f>
        <v>0</v>
      </c>
      <c r="X17" s="309">
        <f t="shared" si="6"/>
        <v>0</v>
      </c>
      <c r="Y17" s="120">
        <f>'As-Filed Schedule 2G'!O17</f>
        <v>0</v>
      </c>
      <c r="Z17" s="313">
        <f>SUMIFS(Adjustments!$G:$G,Adjustments!$H:$H,"2G",Adjustments!$I:$I,'Schedule 2G Adjustments'!$Y$12,Adjustments!$J:$J,'Schedule 2G Adjustments'!$A17)</f>
        <v>0</v>
      </c>
      <c r="AA17" s="309">
        <f t="shared" si="7"/>
        <v>0</v>
      </c>
    </row>
    <row r="18" spans="1:27" x14ac:dyDescent="0.35">
      <c r="A18" s="24">
        <v>4</v>
      </c>
      <c r="B18" s="507" t="str">
        <f>IF('As-Filed Schedule 2G'!B18:D18=0,"",'As-Filed Schedule 2G'!B18:D18)</f>
        <v/>
      </c>
      <c r="C18" s="507"/>
      <c r="D18" s="507"/>
      <c r="F18" s="117">
        <f>'As-Filed Schedule 2G'!F18</f>
        <v>0</v>
      </c>
      <c r="G18" s="313">
        <f>SUMIFS(Adjustments!$G:$G,Adjustments!$H:$H,"2G",Adjustments!$I:$I,'Schedule 2G Adjustments'!$F$12,Adjustments!$J:$J,'Schedule 2G Adjustments'!$A18)</f>
        <v>0</v>
      </c>
      <c r="H18" s="309">
        <f t="shared" si="0"/>
        <v>0</v>
      </c>
      <c r="I18" s="68">
        <f>IFERROR(F18*'As-Filed Schedule 1'!$E$103,0)</f>
        <v>0</v>
      </c>
      <c r="J18" s="310">
        <f>IFERROR(H18*'Adjusted Schedule 1'!$E$104,0)</f>
        <v>0</v>
      </c>
      <c r="K18" s="68">
        <f>SUM(F18,I18)</f>
        <v>0</v>
      </c>
      <c r="L18" s="310">
        <f>SUM(H18,J18)</f>
        <v>0</v>
      </c>
      <c r="N18" s="117">
        <f>'As-Filed Schedule 2G'!J18</f>
        <v>0</v>
      </c>
      <c r="O18" s="313">
        <f>SUMIFS(Adjustments!$G:$G,Adjustments!$H:$H,"2G",Adjustments!$I:$I,'Schedule 2G Adjustments'!$N$12,Adjustments!$J:$J,'Schedule 2G Adjustments'!$A18)</f>
        <v>0</v>
      </c>
      <c r="P18" s="309">
        <f t="shared" si="3"/>
        <v>0</v>
      </c>
      <c r="Q18" s="68">
        <f>IFERROR(N18*'As-Filed Schedule 1'!$E$103,0)</f>
        <v>0</v>
      </c>
      <c r="R18" s="68">
        <f>IFERROR(P18*'Adjusted Schedule 1'!$E$104,0)</f>
        <v>0</v>
      </c>
      <c r="S18" s="68">
        <f t="shared" si="4"/>
        <v>0</v>
      </c>
      <c r="T18" s="310">
        <f t="shared" si="5"/>
        <v>0</v>
      </c>
      <c r="V18" s="120">
        <f>'As-Filed Schedule 2G'!N18</f>
        <v>0</v>
      </c>
      <c r="W18" s="313">
        <f>SUMIFS(Adjustments!$G:$G,Adjustments!$H:$H,"2G",Adjustments!$I:$I,'Schedule 2G Adjustments'!$V$12,Adjustments!$J:$J,'Schedule 2G Adjustments'!$A18)</f>
        <v>0</v>
      </c>
      <c r="X18" s="309">
        <f t="shared" si="6"/>
        <v>0</v>
      </c>
      <c r="Y18" s="120">
        <f>'As-Filed Schedule 2G'!O18</f>
        <v>0</v>
      </c>
      <c r="Z18" s="313">
        <f>SUMIFS(Adjustments!$G:$G,Adjustments!$H:$H,"2G",Adjustments!$I:$I,'Schedule 2G Adjustments'!$Y$12,Adjustments!$J:$J,'Schedule 2G Adjustments'!$A18)</f>
        <v>0</v>
      </c>
      <c r="AA18" s="309">
        <f t="shared" si="7"/>
        <v>0</v>
      </c>
    </row>
    <row r="19" spans="1:27" x14ac:dyDescent="0.35">
      <c r="A19" s="24">
        <v>5</v>
      </c>
      <c r="B19" s="507" t="str">
        <f>IF('As-Filed Schedule 2G'!B19:D19=0,"",'As-Filed Schedule 2G'!B19:D19)</f>
        <v/>
      </c>
      <c r="C19" s="507"/>
      <c r="D19" s="507"/>
      <c r="F19" s="117">
        <f>'As-Filed Schedule 2G'!F19</f>
        <v>0</v>
      </c>
      <c r="G19" s="313">
        <f>SUMIFS(Adjustments!$G:$G,Adjustments!$H:$H,"2G",Adjustments!$I:$I,'Schedule 2G Adjustments'!$F$12,Adjustments!$J:$J,'Schedule 2G Adjustments'!$A19)</f>
        <v>0</v>
      </c>
      <c r="H19" s="309">
        <f t="shared" si="0"/>
        <v>0</v>
      </c>
      <c r="I19" s="68">
        <f>IFERROR(F19*'As-Filed Schedule 1'!$E$103,0)</f>
        <v>0</v>
      </c>
      <c r="J19" s="310">
        <f>IFERROR(H19*'Adjusted Schedule 1'!$E$104,0)</f>
        <v>0</v>
      </c>
      <c r="K19" s="68">
        <f t="shared" si="1"/>
        <v>0</v>
      </c>
      <c r="L19" s="310">
        <f>SUM(H19,J19)</f>
        <v>0</v>
      </c>
      <c r="N19" s="117">
        <f>'As-Filed Schedule 2G'!J19</f>
        <v>0</v>
      </c>
      <c r="O19" s="313">
        <f>SUMIFS(Adjustments!$G:$G,Adjustments!$H:$H,"2G",Adjustments!$I:$I,'Schedule 2G Adjustments'!$N$12,Adjustments!$J:$J,'Schedule 2G Adjustments'!$A19)</f>
        <v>0</v>
      </c>
      <c r="P19" s="309">
        <f t="shared" si="3"/>
        <v>0</v>
      </c>
      <c r="Q19" s="68">
        <f>IFERROR(N19*'As-Filed Schedule 1'!$E$103,0)</f>
        <v>0</v>
      </c>
      <c r="R19" s="68">
        <f>IFERROR(P19*'Adjusted Schedule 1'!$E$104,0)</f>
        <v>0</v>
      </c>
      <c r="S19" s="68">
        <f t="shared" si="4"/>
        <v>0</v>
      </c>
      <c r="T19" s="310">
        <f t="shared" si="5"/>
        <v>0</v>
      </c>
      <c r="V19" s="120">
        <f>'As-Filed Schedule 2G'!N19</f>
        <v>0</v>
      </c>
      <c r="W19" s="313">
        <f>SUMIFS(Adjustments!$G:$G,Adjustments!$H:$H,"2G",Adjustments!$I:$I,'Schedule 2G Adjustments'!$V$12,Adjustments!$J:$J,'Schedule 2G Adjustments'!$A19)</f>
        <v>0</v>
      </c>
      <c r="X19" s="309">
        <f t="shared" si="6"/>
        <v>0</v>
      </c>
      <c r="Y19" s="120">
        <f>'As-Filed Schedule 2G'!O19</f>
        <v>0</v>
      </c>
      <c r="Z19" s="313">
        <f>SUMIFS(Adjustments!$G:$G,Adjustments!$H:$H,"2G",Adjustments!$I:$I,'Schedule 2G Adjustments'!$Y$12,Adjustments!$J:$J,'Schedule 2G Adjustments'!$A19)</f>
        <v>0</v>
      </c>
      <c r="AA19" s="309">
        <f t="shared" si="7"/>
        <v>0</v>
      </c>
    </row>
    <row r="20" spans="1:27" x14ac:dyDescent="0.35">
      <c r="A20" s="24">
        <v>6</v>
      </c>
      <c r="B20" s="507" t="str">
        <f>IF('As-Filed Schedule 2G'!B20:D20=0,"",'As-Filed Schedule 2G'!B20:D20)</f>
        <v/>
      </c>
      <c r="C20" s="507"/>
      <c r="D20" s="507"/>
      <c r="F20" s="117">
        <f>'As-Filed Schedule 2G'!F20</f>
        <v>0</v>
      </c>
      <c r="G20" s="313">
        <f>SUMIFS(Adjustments!$G:$G,Adjustments!$H:$H,"2G",Adjustments!$I:$I,'Schedule 2G Adjustments'!$F$12,Adjustments!$J:$J,'Schedule 2G Adjustments'!$A20)</f>
        <v>0</v>
      </c>
      <c r="H20" s="309">
        <f t="shared" si="0"/>
        <v>0</v>
      </c>
      <c r="I20" s="68">
        <f>IFERROR(F20*'As-Filed Schedule 1'!$E$103,0)</f>
        <v>0</v>
      </c>
      <c r="J20" s="310">
        <f>IFERROR(H20*'Adjusted Schedule 1'!$E$104,0)</f>
        <v>0</v>
      </c>
      <c r="K20" s="68">
        <f>SUM(F20,I20)</f>
        <v>0</v>
      </c>
      <c r="L20" s="310">
        <f t="shared" si="2"/>
        <v>0</v>
      </c>
      <c r="N20" s="117">
        <f>'As-Filed Schedule 2G'!J20</f>
        <v>0</v>
      </c>
      <c r="O20" s="313">
        <f>SUMIFS(Adjustments!$G:$G,Adjustments!$H:$H,"2G",Adjustments!$I:$I,'Schedule 2G Adjustments'!$N$12,Adjustments!$J:$J,'Schedule 2G Adjustments'!$A20)</f>
        <v>0</v>
      </c>
      <c r="P20" s="309">
        <f t="shared" si="3"/>
        <v>0</v>
      </c>
      <c r="Q20" s="68">
        <f>IFERROR(N20*'As-Filed Schedule 1'!$E$103,0)</f>
        <v>0</v>
      </c>
      <c r="R20" s="68">
        <f>IFERROR(P20*'Adjusted Schedule 1'!$E$104,0)</f>
        <v>0</v>
      </c>
      <c r="S20" s="68">
        <f t="shared" si="4"/>
        <v>0</v>
      </c>
      <c r="T20" s="310">
        <f t="shared" si="5"/>
        <v>0</v>
      </c>
      <c r="V20" s="120">
        <f>'As-Filed Schedule 2G'!N20</f>
        <v>0</v>
      </c>
      <c r="W20" s="313">
        <f>SUMIFS(Adjustments!$G:$G,Adjustments!$H:$H,"2G",Adjustments!$I:$I,'Schedule 2G Adjustments'!$V$12,Adjustments!$J:$J,'Schedule 2G Adjustments'!$A20)</f>
        <v>0</v>
      </c>
      <c r="X20" s="309">
        <f t="shared" si="6"/>
        <v>0</v>
      </c>
      <c r="Y20" s="120">
        <f>'As-Filed Schedule 2G'!O20</f>
        <v>0</v>
      </c>
      <c r="Z20" s="313">
        <f>SUMIFS(Adjustments!$G:$G,Adjustments!$H:$H,"2G",Adjustments!$I:$I,'Schedule 2G Adjustments'!$Y$12,Adjustments!$J:$J,'Schedule 2G Adjustments'!$A20)</f>
        <v>0</v>
      </c>
      <c r="AA20" s="309">
        <f t="shared" si="7"/>
        <v>0</v>
      </c>
    </row>
    <row r="21" spans="1:27" x14ac:dyDescent="0.35">
      <c r="A21" s="24">
        <v>7</v>
      </c>
      <c r="B21" s="507" t="str">
        <f>IF('As-Filed Schedule 2G'!B21:D21=0,"",'As-Filed Schedule 2G'!B21:D21)</f>
        <v/>
      </c>
      <c r="C21" s="507"/>
      <c r="D21" s="507"/>
      <c r="F21" s="117">
        <f>'As-Filed Schedule 2G'!F21</f>
        <v>0</v>
      </c>
      <c r="G21" s="313">
        <f>SUMIFS(Adjustments!$G:$G,Adjustments!$H:$H,"2G",Adjustments!$I:$I,'Schedule 2G Adjustments'!$F$12,Adjustments!$J:$J,'Schedule 2G Adjustments'!$A21)</f>
        <v>0</v>
      </c>
      <c r="H21" s="309">
        <f t="shared" si="0"/>
        <v>0</v>
      </c>
      <c r="I21" s="68">
        <f>IFERROR(F21*'As-Filed Schedule 1'!$E$103,0)</f>
        <v>0</v>
      </c>
      <c r="J21" s="310">
        <f>IFERROR(H21*'Adjusted Schedule 1'!$E$104,0)</f>
        <v>0</v>
      </c>
      <c r="K21" s="68">
        <f t="shared" si="1"/>
        <v>0</v>
      </c>
      <c r="L21" s="310">
        <f t="shared" si="2"/>
        <v>0</v>
      </c>
      <c r="N21" s="117">
        <f>'As-Filed Schedule 2G'!J21</f>
        <v>0</v>
      </c>
      <c r="O21" s="313">
        <f>SUMIFS(Adjustments!$G:$G,Adjustments!$H:$H,"2G",Adjustments!$I:$I,'Schedule 2G Adjustments'!$N$12,Adjustments!$J:$J,'Schedule 2G Adjustments'!$A21)</f>
        <v>0</v>
      </c>
      <c r="P21" s="309">
        <f t="shared" si="3"/>
        <v>0</v>
      </c>
      <c r="Q21" s="68">
        <f>IFERROR(N21*'As-Filed Schedule 1'!$E$103,0)</f>
        <v>0</v>
      </c>
      <c r="R21" s="68">
        <f>IFERROR(P21*'Adjusted Schedule 1'!$E$104,0)</f>
        <v>0</v>
      </c>
      <c r="S21" s="68">
        <f>SUM(N21,Q21)</f>
        <v>0</v>
      </c>
      <c r="T21" s="310">
        <f>SUM(P21,R21)</f>
        <v>0</v>
      </c>
      <c r="V21" s="120">
        <f>'As-Filed Schedule 2G'!N21</f>
        <v>0</v>
      </c>
      <c r="W21" s="313">
        <f>SUMIFS(Adjustments!$G:$G,Adjustments!$H:$H,"2G",Adjustments!$I:$I,'Schedule 2G Adjustments'!$V$12,Adjustments!$J:$J,'Schedule 2G Adjustments'!$A21)</f>
        <v>0</v>
      </c>
      <c r="X21" s="309">
        <f t="shared" si="6"/>
        <v>0</v>
      </c>
      <c r="Y21" s="120">
        <f>'As-Filed Schedule 2G'!O21</f>
        <v>0</v>
      </c>
      <c r="Z21" s="313">
        <f>SUMIFS(Adjustments!$G:$G,Adjustments!$H:$H,"2G",Adjustments!$I:$I,'Schedule 2G Adjustments'!$Y$12,Adjustments!$J:$J,'Schedule 2G Adjustments'!$A21)</f>
        <v>0</v>
      </c>
      <c r="AA21" s="309">
        <f t="shared" si="7"/>
        <v>0</v>
      </c>
    </row>
    <row r="22" spans="1:27" x14ac:dyDescent="0.35">
      <c r="A22" s="24">
        <v>8</v>
      </c>
      <c r="B22" s="507" t="str">
        <f>IF('As-Filed Schedule 2G'!B22:D22=0,"",'As-Filed Schedule 2G'!B22:D22)</f>
        <v/>
      </c>
      <c r="C22" s="507"/>
      <c r="D22" s="507"/>
      <c r="F22" s="117">
        <f>'As-Filed Schedule 2G'!F22</f>
        <v>0</v>
      </c>
      <c r="G22" s="313">
        <f>SUMIFS(Adjustments!$G:$G,Adjustments!$H:$H,"2G",Adjustments!$I:$I,'Schedule 2G Adjustments'!$F$12,Adjustments!$J:$J,'Schedule 2G Adjustments'!$A22)</f>
        <v>0</v>
      </c>
      <c r="H22" s="309">
        <f t="shared" si="0"/>
        <v>0</v>
      </c>
      <c r="I22" s="68">
        <f>IFERROR(F22*'As-Filed Schedule 1'!$E$103,0)</f>
        <v>0</v>
      </c>
      <c r="J22" s="310">
        <f>IFERROR(H22*'Adjusted Schedule 1'!$E$104,0)</f>
        <v>0</v>
      </c>
      <c r="K22" s="68">
        <f t="shared" si="1"/>
        <v>0</v>
      </c>
      <c r="L22" s="310">
        <f t="shared" si="2"/>
        <v>0</v>
      </c>
      <c r="N22" s="117">
        <f>'As-Filed Schedule 2G'!J22</f>
        <v>0</v>
      </c>
      <c r="O22" s="313">
        <f>SUMIFS(Adjustments!$G:$G,Adjustments!$H:$H,"2G",Adjustments!$I:$I,'Schedule 2G Adjustments'!$N$12,Adjustments!$J:$J,'Schedule 2G Adjustments'!$A22)</f>
        <v>0</v>
      </c>
      <c r="P22" s="309">
        <f t="shared" si="3"/>
        <v>0</v>
      </c>
      <c r="Q22" s="68">
        <f>IFERROR(N22*'As-Filed Schedule 1'!$E$103,0)</f>
        <v>0</v>
      </c>
      <c r="R22" s="68">
        <f>IFERROR(P22*'Adjusted Schedule 1'!$E$104,0)</f>
        <v>0</v>
      </c>
      <c r="S22" s="68">
        <f t="shared" si="4"/>
        <v>0</v>
      </c>
      <c r="T22" s="310">
        <f t="shared" si="5"/>
        <v>0</v>
      </c>
      <c r="V22" s="120">
        <f>'As-Filed Schedule 2G'!N22</f>
        <v>0</v>
      </c>
      <c r="W22" s="313">
        <f>SUMIFS(Adjustments!$G:$G,Adjustments!$H:$H,"2G",Adjustments!$I:$I,'Schedule 2G Adjustments'!$V$12,Adjustments!$J:$J,'Schedule 2G Adjustments'!$A22)</f>
        <v>0</v>
      </c>
      <c r="X22" s="309">
        <f t="shared" si="6"/>
        <v>0</v>
      </c>
      <c r="Y22" s="120">
        <f>'As-Filed Schedule 2G'!O22</f>
        <v>0</v>
      </c>
      <c r="Z22" s="313">
        <f>SUMIFS(Adjustments!$G:$G,Adjustments!$H:$H,"2G",Adjustments!$I:$I,'Schedule 2G Adjustments'!$Y$12,Adjustments!$J:$J,'Schedule 2G Adjustments'!$A22)</f>
        <v>0</v>
      </c>
      <c r="AA22" s="309">
        <f t="shared" si="7"/>
        <v>0</v>
      </c>
    </row>
    <row r="23" spans="1:27" x14ac:dyDescent="0.35">
      <c r="A23" s="24">
        <v>9</v>
      </c>
      <c r="B23" s="507" t="str">
        <f>IF('As-Filed Schedule 2G'!B23:D23=0,"",'As-Filed Schedule 2G'!B23:D23)</f>
        <v/>
      </c>
      <c r="C23" s="507"/>
      <c r="D23" s="507"/>
      <c r="F23" s="117">
        <f>'As-Filed Schedule 2G'!F23</f>
        <v>0</v>
      </c>
      <c r="G23" s="313">
        <f>SUMIFS(Adjustments!$G:$G,Adjustments!$H:$H,"2G",Adjustments!$I:$I,'Schedule 2G Adjustments'!$F$12,Adjustments!$J:$J,'Schedule 2G Adjustments'!$A23)</f>
        <v>0</v>
      </c>
      <c r="H23" s="309">
        <f t="shared" si="0"/>
        <v>0</v>
      </c>
      <c r="I23" s="68">
        <f>IFERROR(F23*'As-Filed Schedule 1'!$E$103,0)</f>
        <v>0</v>
      </c>
      <c r="J23" s="310">
        <f>IFERROR(H23*'Adjusted Schedule 1'!$E$104,0)</f>
        <v>0</v>
      </c>
      <c r="K23" s="68">
        <f t="shared" si="1"/>
        <v>0</v>
      </c>
      <c r="L23" s="310">
        <f t="shared" si="2"/>
        <v>0</v>
      </c>
      <c r="N23" s="117">
        <f>'As-Filed Schedule 2G'!J23</f>
        <v>0</v>
      </c>
      <c r="O23" s="313">
        <f>SUMIFS(Adjustments!$G:$G,Adjustments!$H:$H,"2G",Adjustments!$I:$I,'Schedule 2G Adjustments'!$N$12,Adjustments!$J:$J,'Schedule 2G Adjustments'!$A23)</f>
        <v>0</v>
      </c>
      <c r="P23" s="309">
        <f t="shared" si="3"/>
        <v>0</v>
      </c>
      <c r="Q23" s="68">
        <f>IFERROR(N23*'As-Filed Schedule 1'!$E$103,0)</f>
        <v>0</v>
      </c>
      <c r="R23" s="68">
        <f>IFERROR(P23*'Adjusted Schedule 1'!$E$104,0)</f>
        <v>0</v>
      </c>
      <c r="S23" s="68">
        <f t="shared" si="4"/>
        <v>0</v>
      </c>
      <c r="T23" s="310">
        <f t="shared" si="5"/>
        <v>0</v>
      </c>
      <c r="V23" s="120">
        <f>'As-Filed Schedule 2G'!N23</f>
        <v>0</v>
      </c>
      <c r="W23" s="313">
        <f>SUMIFS(Adjustments!$G:$G,Adjustments!$H:$H,"2G",Adjustments!$I:$I,'Schedule 2G Adjustments'!$V$12,Adjustments!$J:$J,'Schedule 2G Adjustments'!$A23)</f>
        <v>0</v>
      </c>
      <c r="X23" s="309">
        <f t="shared" si="6"/>
        <v>0</v>
      </c>
      <c r="Y23" s="120">
        <f>'As-Filed Schedule 2G'!O23</f>
        <v>0</v>
      </c>
      <c r="Z23" s="313">
        <f>SUMIFS(Adjustments!$G:$G,Adjustments!$H:$H,"2G",Adjustments!$I:$I,'Schedule 2G Adjustments'!$Y$12,Adjustments!$J:$J,'Schedule 2G Adjustments'!$A23)</f>
        <v>0</v>
      </c>
      <c r="AA23" s="309">
        <f t="shared" si="7"/>
        <v>0</v>
      </c>
    </row>
    <row r="24" spans="1:27" x14ac:dyDescent="0.35">
      <c r="A24" s="24">
        <v>10</v>
      </c>
      <c r="B24" s="507" t="str">
        <f>IF('As-Filed Schedule 2G'!B24:D24=0,"",'As-Filed Schedule 2G'!B24:D24)</f>
        <v/>
      </c>
      <c r="C24" s="507"/>
      <c r="D24" s="507"/>
      <c r="F24" s="117">
        <f>'As-Filed Schedule 2G'!F24</f>
        <v>0</v>
      </c>
      <c r="G24" s="313">
        <f>SUMIFS(Adjustments!$G:$G,Adjustments!$H:$H,"2G",Adjustments!$I:$I,'Schedule 2G Adjustments'!$F$12,Adjustments!$J:$J,'Schedule 2G Adjustments'!$A24)</f>
        <v>0</v>
      </c>
      <c r="H24" s="309">
        <f t="shared" si="0"/>
        <v>0</v>
      </c>
      <c r="I24" s="68">
        <f>IFERROR(F24*'As-Filed Schedule 1'!$E$103,0)</f>
        <v>0</v>
      </c>
      <c r="J24" s="310">
        <f>IFERROR(H24*'Adjusted Schedule 1'!$E$104,0)</f>
        <v>0</v>
      </c>
      <c r="K24" s="68">
        <f t="shared" si="1"/>
        <v>0</v>
      </c>
      <c r="L24" s="310">
        <f t="shared" si="2"/>
        <v>0</v>
      </c>
      <c r="N24" s="117">
        <f>'As-Filed Schedule 2G'!J24</f>
        <v>0</v>
      </c>
      <c r="O24" s="313">
        <f>SUMIFS(Adjustments!$G:$G,Adjustments!$H:$H,"2G",Adjustments!$I:$I,'Schedule 2G Adjustments'!$N$12,Adjustments!$J:$J,'Schedule 2G Adjustments'!$A24)</f>
        <v>0</v>
      </c>
      <c r="P24" s="309">
        <f t="shared" si="3"/>
        <v>0</v>
      </c>
      <c r="Q24" s="68">
        <f>IFERROR(N24*'As-Filed Schedule 1'!$E$103,0)</f>
        <v>0</v>
      </c>
      <c r="R24" s="68">
        <f>IFERROR(P24*'Adjusted Schedule 1'!$E$104,0)</f>
        <v>0</v>
      </c>
      <c r="S24" s="68">
        <f t="shared" si="4"/>
        <v>0</v>
      </c>
      <c r="T24" s="310">
        <f t="shared" si="5"/>
        <v>0</v>
      </c>
      <c r="V24" s="120">
        <f>'As-Filed Schedule 2G'!N24</f>
        <v>0</v>
      </c>
      <c r="W24" s="313">
        <f>SUMIFS(Adjustments!$G:$G,Adjustments!$H:$H,"2G",Adjustments!$I:$I,'Schedule 2G Adjustments'!$V$12,Adjustments!$J:$J,'Schedule 2G Adjustments'!$A24)</f>
        <v>0</v>
      </c>
      <c r="X24" s="309">
        <f t="shared" si="6"/>
        <v>0</v>
      </c>
      <c r="Y24" s="120">
        <f>'As-Filed Schedule 2G'!O24</f>
        <v>0</v>
      </c>
      <c r="Z24" s="313">
        <f>SUMIFS(Adjustments!$G:$G,Adjustments!$H:$H,"2G",Adjustments!$I:$I,'Schedule 2G Adjustments'!$Y$12,Adjustments!$J:$J,'Schedule 2G Adjustments'!$A24)</f>
        <v>0</v>
      </c>
      <c r="AA24" s="309">
        <f t="shared" si="7"/>
        <v>0</v>
      </c>
    </row>
    <row r="25" spans="1:27" x14ac:dyDescent="0.35">
      <c r="A25" s="24">
        <v>11</v>
      </c>
      <c r="B25" s="507" t="str">
        <f>IF('As-Filed Schedule 2G'!B25:D25=0,"",'As-Filed Schedule 2G'!B25:D25)</f>
        <v/>
      </c>
      <c r="C25" s="507"/>
      <c r="D25" s="507"/>
      <c r="F25" s="117">
        <f>'As-Filed Schedule 2G'!F25</f>
        <v>0</v>
      </c>
      <c r="G25" s="313">
        <f>SUMIFS(Adjustments!$G:$G,Adjustments!$H:$H,"2G",Adjustments!$I:$I,'Schedule 2G Adjustments'!$F$12,Adjustments!$J:$J,'Schedule 2G Adjustments'!$A25)</f>
        <v>0</v>
      </c>
      <c r="H25" s="309">
        <f t="shared" si="0"/>
        <v>0</v>
      </c>
      <c r="I25" s="68">
        <f>IFERROR(F25*'As-Filed Schedule 1'!$E$103,0)</f>
        <v>0</v>
      </c>
      <c r="J25" s="310">
        <f>IFERROR(H25*'Adjusted Schedule 1'!$E$104,0)</f>
        <v>0</v>
      </c>
      <c r="K25" s="68">
        <f t="shared" si="1"/>
        <v>0</v>
      </c>
      <c r="L25" s="310">
        <f t="shared" si="2"/>
        <v>0</v>
      </c>
      <c r="N25" s="117">
        <f>'As-Filed Schedule 2G'!J25</f>
        <v>0</v>
      </c>
      <c r="O25" s="313">
        <f>SUMIFS(Adjustments!$G:$G,Adjustments!$H:$H,"2G",Adjustments!$I:$I,'Schedule 2G Adjustments'!$N$12,Adjustments!$J:$J,'Schedule 2G Adjustments'!$A25)</f>
        <v>0</v>
      </c>
      <c r="P25" s="309">
        <f t="shared" si="3"/>
        <v>0</v>
      </c>
      <c r="Q25" s="68">
        <f>IFERROR(N25*'As-Filed Schedule 1'!$E$103,0)</f>
        <v>0</v>
      </c>
      <c r="R25" s="68">
        <f>IFERROR(P25*'Adjusted Schedule 1'!$E$104,0)</f>
        <v>0</v>
      </c>
      <c r="S25" s="68">
        <f t="shared" si="4"/>
        <v>0</v>
      </c>
      <c r="T25" s="310">
        <f t="shared" si="5"/>
        <v>0</v>
      </c>
      <c r="V25" s="120">
        <f>'As-Filed Schedule 2G'!N25</f>
        <v>0</v>
      </c>
      <c r="W25" s="313">
        <f>SUMIFS(Adjustments!$G:$G,Adjustments!$H:$H,"2G",Adjustments!$I:$I,'Schedule 2G Adjustments'!$V$12,Adjustments!$J:$J,'Schedule 2G Adjustments'!$A25)</f>
        <v>0</v>
      </c>
      <c r="X25" s="309">
        <f t="shared" si="6"/>
        <v>0</v>
      </c>
      <c r="Y25" s="120">
        <f>'As-Filed Schedule 2G'!O25</f>
        <v>0</v>
      </c>
      <c r="Z25" s="313">
        <f>SUMIFS(Adjustments!$G:$G,Adjustments!$H:$H,"2G",Adjustments!$I:$I,'Schedule 2G Adjustments'!$Y$12,Adjustments!$J:$J,'Schedule 2G Adjustments'!$A25)</f>
        <v>0</v>
      </c>
      <c r="AA25" s="309">
        <f t="shared" si="7"/>
        <v>0</v>
      </c>
    </row>
    <row r="26" spans="1:27" x14ac:dyDescent="0.35">
      <c r="A26" s="24">
        <v>12</v>
      </c>
      <c r="B26" s="507" t="str">
        <f>IF('As-Filed Schedule 2G'!B26:D26=0,"",'As-Filed Schedule 2G'!B26:D26)</f>
        <v/>
      </c>
      <c r="C26" s="507"/>
      <c r="D26" s="507"/>
      <c r="F26" s="117">
        <f>'As-Filed Schedule 2G'!F26</f>
        <v>0</v>
      </c>
      <c r="G26" s="313">
        <f>SUMIFS(Adjustments!$G:$G,Adjustments!$H:$H,"2G",Adjustments!$I:$I,'Schedule 2G Adjustments'!$F$12,Adjustments!$J:$J,'Schedule 2G Adjustments'!$A26)</f>
        <v>0</v>
      </c>
      <c r="H26" s="309">
        <f t="shared" si="0"/>
        <v>0</v>
      </c>
      <c r="I26" s="68">
        <f>IFERROR(F26*'As-Filed Schedule 1'!$E$103,0)</f>
        <v>0</v>
      </c>
      <c r="J26" s="310">
        <f>IFERROR(H26*'Adjusted Schedule 1'!$E$104,0)</f>
        <v>0</v>
      </c>
      <c r="K26" s="68">
        <f t="shared" si="1"/>
        <v>0</v>
      </c>
      <c r="L26" s="310">
        <f t="shared" si="2"/>
        <v>0</v>
      </c>
      <c r="N26" s="117">
        <f>'As-Filed Schedule 2G'!J26</f>
        <v>0</v>
      </c>
      <c r="O26" s="313">
        <f>SUMIFS(Adjustments!$G:$G,Adjustments!$H:$H,"2G",Adjustments!$I:$I,'Schedule 2G Adjustments'!$N$12,Adjustments!$J:$J,'Schedule 2G Adjustments'!$A26)</f>
        <v>0</v>
      </c>
      <c r="P26" s="309">
        <f t="shared" si="3"/>
        <v>0</v>
      </c>
      <c r="Q26" s="68">
        <f>IFERROR(N26*'As-Filed Schedule 1'!$E$103,0)</f>
        <v>0</v>
      </c>
      <c r="R26" s="68">
        <f>IFERROR(P26*'Adjusted Schedule 1'!$E$104,0)</f>
        <v>0</v>
      </c>
      <c r="S26" s="68">
        <f t="shared" si="4"/>
        <v>0</v>
      </c>
      <c r="T26" s="310">
        <f t="shared" si="5"/>
        <v>0</v>
      </c>
      <c r="V26" s="120">
        <f>'As-Filed Schedule 2G'!N26</f>
        <v>0</v>
      </c>
      <c r="W26" s="313">
        <f>SUMIFS(Adjustments!$G:$G,Adjustments!$H:$H,"2G",Adjustments!$I:$I,'Schedule 2G Adjustments'!$V$12,Adjustments!$J:$J,'Schedule 2G Adjustments'!$A26)</f>
        <v>0</v>
      </c>
      <c r="X26" s="309">
        <f t="shared" si="6"/>
        <v>0</v>
      </c>
      <c r="Y26" s="120">
        <f>'As-Filed Schedule 2G'!O26</f>
        <v>0</v>
      </c>
      <c r="Z26" s="313">
        <f>SUMIFS(Adjustments!$G:$G,Adjustments!$H:$H,"2G",Adjustments!$I:$I,'Schedule 2G Adjustments'!$Y$12,Adjustments!$J:$J,'Schedule 2G Adjustments'!$A26)</f>
        <v>0</v>
      </c>
      <c r="AA26" s="309">
        <f t="shared" si="7"/>
        <v>0</v>
      </c>
    </row>
    <row r="27" spans="1:27" x14ac:dyDescent="0.35">
      <c r="A27" s="24">
        <v>13</v>
      </c>
      <c r="B27" s="507" t="str">
        <f>IF('As-Filed Schedule 2G'!B27:D27=0,"",'As-Filed Schedule 2G'!B27:D27)</f>
        <v/>
      </c>
      <c r="C27" s="507"/>
      <c r="D27" s="507"/>
      <c r="F27" s="117">
        <f>'As-Filed Schedule 2G'!F27</f>
        <v>0</v>
      </c>
      <c r="G27" s="313">
        <f>SUMIFS(Adjustments!$G:$G,Adjustments!$H:$H,"2G",Adjustments!$I:$I,'Schedule 2G Adjustments'!$F$12,Adjustments!$J:$J,'Schedule 2G Adjustments'!$A27)</f>
        <v>0</v>
      </c>
      <c r="H27" s="309">
        <f t="shared" si="0"/>
        <v>0</v>
      </c>
      <c r="I27" s="68">
        <f>IFERROR(F27*'As-Filed Schedule 1'!$E$103,0)</f>
        <v>0</v>
      </c>
      <c r="J27" s="310">
        <f>IFERROR(H27*'Adjusted Schedule 1'!$E$104,0)</f>
        <v>0</v>
      </c>
      <c r="K27" s="68">
        <f t="shared" si="1"/>
        <v>0</v>
      </c>
      <c r="L27" s="310">
        <f t="shared" si="2"/>
        <v>0</v>
      </c>
      <c r="N27" s="117">
        <f>'As-Filed Schedule 2G'!J27</f>
        <v>0</v>
      </c>
      <c r="O27" s="313">
        <f>SUMIFS(Adjustments!$G:$G,Adjustments!$H:$H,"2G",Adjustments!$I:$I,'Schedule 2G Adjustments'!$N$12,Adjustments!$J:$J,'Schedule 2G Adjustments'!$A27)</f>
        <v>0</v>
      </c>
      <c r="P27" s="309">
        <f t="shared" si="3"/>
        <v>0</v>
      </c>
      <c r="Q27" s="68">
        <f>IFERROR(N27*'As-Filed Schedule 1'!$E$103,0)</f>
        <v>0</v>
      </c>
      <c r="R27" s="68">
        <f>IFERROR(P27*'Adjusted Schedule 1'!$E$104,0)</f>
        <v>0</v>
      </c>
      <c r="S27" s="68">
        <f t="shared" si="4"/>
        <v>0</v>
      </c>
      <c r="T27" s="310">
        <f t="shared" si="5"/>
        <v>0</v>
      </c>
      <c r="V27" s="120">
        <f>'As-Filed Schedule 2G'!N27</f>
        <v>0</v>
      </c>
      <c r="W27" s="313">
        <f>SUMIFS(Adjustments!$G:$G,Adjustments!$H:$H,"2G",Adjustments!$I:$I,'Schedule 2G Adjustments'!$V$12,Adjustments!$J:$J,'Schedule 2G Adjustments'!$A27)</f>
        <v>0</v>
      </c>
      <c r="X27" s="309">
        <f t="shared" si="6"/>
        <v>0</v>
      </c>
      <c r="Y27" s="120">
        <f>'As-Filed Schedule 2G'!O27</f>
        <v>0</v>
      </c>
      <c r="Z27" s="313">
        <f>SUMIFS(Adjustments!$G:$G,Adjustments!$H:$H,"2G",Adjustments!$I:$I,'Schedule 2G Adjustments'!$Y$12,Adjustments!$J:$J,'Schedule 2G Adjustments'!$A27)</f>
        <v>0</v>
      </c>
      <c r="AA27" s="309">
        <f t="shared" si="7"/>
        <v>0</v>
      </c>
    </row>
    <row r="28" spans="1:27" x14ac:dyDescent="0.35">
      <c r="A28" s="24">
        <v>14</v>
      </c>
      <c r="B28" s="507" t="str">
        <f>IF('As-Filed Schedule 2G'!B28:D28=0,"",'As-Filed Schedule 2G'!B28:D28)</f>
        <v/>
      </c>
      <c r="C28" s="507"/>
      <c r="D28" s="507"/>
      <c r="F28" s="117">
        <f>'As-Filed Schedule 2G'!F28</f>
        <v>0</v>
      </c>
      <c r="G28" s="313">
        <f>SUMIFS(Adjustments!$G:$G,Adjustments!$H:$H,"2G",Adjustments!$I:$I,'Schedule 2G Adjustments'!$F$12,Adjustments!$J:$J,'Schedule 2G Adjustments'!$A28)</f>
        <v>0</v>
      </c>
      <c r="H28" s="309">
        <f t="shared" si="0"/>
        <v>0</v>
      </c>
      <c r="I28" s="68">
        <f>IFERROR(F28*'As-Filed Schedule 1'!$E$103,0)</f>
        <v>0</v>
      </c>
      <c r="J28" s="310">
        <f>IFERROR(H28*'Adjusted Schedule 1'!$E$104,0)</f>
        <v>0</v>
      </c>
      <c r="K28" s="68">
        <f t="shared" si="1"/>
        <v>0</v>
      </c>
      <c r="L28" s="310">
        <f t="shared" si="2"/>
        <v>0</v>
      </c>
      <c r="N28" s="117">
        <f>'As-Filed Schedule 2G'!J28</f>
        <v>0</v>
      </c>
      <c r="O28" s="313">
        <f>SUMIFS(Adjustments!$G:$G,Adjustments!$H:$H,"2G",Adjustments!$I:$I,'Schedule 2G Adjustments'!$N$12,Adjustments!$J:$J,'Schedule 2G Adjustments'!$A28)</f>
        <v>0</v>
      </c>
      <c r="P28" s="309">
        <f t="shared" si="3"/>
        <v>0</v>
      </c>
      <c r="Q28" s="68">
        <f>IFERROR(N28*'As-Filed Schedule 1'!$E$103,0)</f>
        <v>0</v>
      </c>
      <c r="R28" s="68">
        <f>IFERROR(P28*'Adjusted Schedule 1'!$E$104,0)</f>
        <v>0</v>
      </c>
      <c r="S28" s="68">
        <f t="shared" si="4"/>
        <v>0</v>
      </c>
      <c r="T28" s="310">
        <f t="shared" si="5"/>
        <v>0</v>
      </c>
      <c r="V28" s="120">
        <f>'As-Filed Schedule 2G'!N28</f>
        <v>0</v>
      </c>
      <c r="W28" s="313">
        <f>SUMIFS(Adjustments!$G:$G,Adjustments!$H:$H,"2G",Adjustments!$I:$I,'Schedule 2G Adjustments'!$V$12,Adjustments!$J:$J,'Schedule 2G Adjustments'!$A28)</f>
        <v>0</v>
      </c>
      <c r="X28" s="309">
        <f t="shared" si="6"/>
        <v>0</v>
      </c>
      <c r="Y28" s="120">
        <f>'As-Filed Schedule 2G'!O28</f>
        <v>0</v>
      </c>
      <c r="Z28" s="313">
        <f>SUMIFS(Adjustments!$G:$G,Adjustments!$H:$H,"2G",Adjustments!$I:$I,'Schedule 2G Adjustments'!$Y$12,Adjustments!$J:$J,'Schedule 2G Adjustments'!$A28)</f>
        <v>0</v>
      </c>
      <c r="AA28" s="309">
        <f t="shared" si="7"/>
        <v>0</v>
      </c>
    </row>
    <row r="29" spans="1:27" x14ac:dyDescent="0.35">
      <c r="A29" s="24">
        <v>15</v>
      </c>
      <c r="B29" s="507" t="str">
        <f>IF('As-Filed Schedule 2G'!B29:D29=0,"",'As-Filed Schedule 2G'!B29:D29)</f>
        <v/>
      </c>
      <c r="C29" s="507"/>
      <c r="D29" s="507"/>
      <c r="F29" s="117">
        <f>'As-Filed Schedule 2G'!F29</f>
        <v>0</v>
      </c>
      <c r="G29" s="313">
        <f>SUMIFS(Adjustments!$G:$G,Adjustments!$H:$H,"2G",Adjustments!$I:$I,'Schedule 2G Adjustments'!$F$12,Adjustments!$J:$J,'Schedule 2G Adjustments'!$A29)</f>
        <v>0</v>
      </c>
      <c r="H29" s="309">
        <f t="shared" si="0"/>
        <v>0</v>
      </c>
      <c r="I29" s="68">
        <f>IFERROR(F29*'As-Filed Schedule 1'!$E$103,0)</f>
        <v>0</v>
      </c>
      <c r="J29" s="310">
        <f>IFERROR(H29*'Adjusted Schedule 1'!$E$104,0)</f>
        <v>0</v>
      </c>
      <c r="K29" s="68">
        <f t="shared" si="1"/>
        <v>0</v>
      </c>
      <c r="L29" s="310">
        <f t="shared" si="2"/>
        <v>0</v>
      </c>
      <c r="N29" s="117">
        <f>'As-Filed Schedule 2G'!J29</f>
        <v>0</v>
      </c>
      <c r="O29" s="313">
        <f>SUMIFS(Adjustments!$G:$G,Adjustments!$H:$H,"2G",Adjustments!$I:$I,'Schedule 2G Adjustments'!$N$12,Adjustments!$J:$J,'Schedule 2G Adjustments'!$A29)</f>
        <v>0</v>
      </c>
      <c r="P29" s="309">
        <f t="shared" si="3"/>
        <v>0</v>
      </c>
      <c r="Q29" s="68">
        <f>IFERROR(N29*'As-Filed Schedule 1'!$E$103,0)</f>
        <v>0</v>
      </c>
      <c r="R29" s="68">
        <f>IFERROR(P29*'Adjusted Schedule 1'!$E$104,0)</f>
        <v>0</v>
      </c>
      <c r="S29" s="68">
        <f t="shared" si="4"/>
        <v>0</v>
      </c>
      <c r="T29" s="310">
        <f t="shared" si="5"/>
        <v>0</v>
      </c>
      <c r="V29" s="120">
        <f>'As-Filed Schedule 2G'!N29</f>
        <v>0</v>
      </c>
      <c r="W29" s="313">
        <f>SUMIFS(Adjustments!$G:$G,Adjustments!$H:$H,"2G",Adjustments!$I:$I,'Schedule 2G Adjustments'!$V$12,Adjustments!$J:$J,'Schedule 2G Adjustments'!$A29)</f>
        <v>0</v>
      </c>
      <c r="X29" s="309">
        <f t="shared" si="6"/>
        <v>0</v>
      </c>
      <c r="Y29" s="120">
        <f>'As-Filed Schedule 2G'!O29</f>
        <v>0</v>
      </c>
      <c r="Z29" s="313">
        <f>SUMIFS(Adjustments!$G:$G,Adjustments!$H:$H,"2G",Adjustments!$I:$I,'Schedule 2G Adjustments'!$Y$12,Adjustments!$J:$J,'Schedule 2G Adjustments'!$A29)</f>
        <v>0</v>
      </c>
      <c r="AA29" s="309">
        <f t="shared" si="7"/>
        <v>0</v>
      </c>
    </row>
    <row r="30" spans="1:27" x14ac:dyDescent="0.35">
      <c r="A30" s="24">
        <v>16</v>
      </c>
      <c r="B30" s="507" t="str">
        <f>IF('As-Filed Schedule 2G'!B30:D30=0,"",'As-Filed Schedule 2G'!B30:D30)</f>
        <v/>
      </c>
      <c r="C30" s="507"/>
      <c r="D30" s="507"/>
      <c r="F30" s="117">
        <f>'As-Filed Schedule 2G'!F30</f>
        <v>0</v>
      </c>
      <c r="G30" s="313">
        <f>SUMIFS(Adjustments!$G:$G,Adjustments!$H:$H,"2G",Adjustments!$I:$I,'Schedule 2G Adjustments'!$F$12,Adjustments!$J:$J,'Schedule 2G Adjustments'!$A30)</f>
        <v>0</v>
      </c>
      <c r="H30" s="309">
        <f t="shared" si="0"/>
        <v>0</v>
      </c>
      <c r="I30" s="68">
        <f>IFERROR(F30*'As-Filed Schedule 1'!$E$103,0)</f>
        <v>0</v>
      </c>
      <c r="J30" s="310">
        <f>IFERROR(H30*'Adjusted Schedule 1'!$E$104,0)</f>
        <v>0</v>
      </c>
      <c r="K30" s="68">
        <f t="shared" si="1"/>
        <v>0</v>
      </c>
      <c r="L30" s="310">
        <f t="shared" si="2"/>
        <v>0</v>
      </c>
      <c r="N30" s="117">
        <f>'As-Filed Schedule 2G'!J30</f>
        <v>0</v>
      </c>
      <c r="O30" s="313">
        <f>SUMIFS(Adjustments!$G:$G,Adjustments!$H:$H,"2G",Adjustments!$I:$I,'Schedule 2G Adjustments'!$N$12,Adjustments!$J:$J,'Schedule 2G Adjustments'!$A30)</f>
        <v>0</v>
      </c>
      <c r="P30" s="309">
        <f t="shared" si="3"/>
        <v>0</v>
      </c>
      <c r="Q30" s="68">
        <f>IFERROR(N30*'As-Filed Schedule 1'!$E$103,0)</f>
        <v>0</v>
      </c>
      <c r="R30" s="68">
        <f>IFERROR(P30*'Adjusted Schedule 1'!$E$104,0)</f>
        <v>0</v>
      </c>
      <c r="S30" s="68">
        <f t="shared" si="4"/>
        <v>0</v>
      </c>
      <c r="T30" s="310">
        <f t="shared" si="5"/>
        <v>0</v>
      </c>
      <c r="V30" s="120">
        <f>'As-Filed Schedule 2G'!N30</f>
        <v>0</v>
      </c>
      <c r="W30" s="313">
        <f>SUMIFS(Adjustments!$G:$G,Adjustments!$H:$H,"2G",Adjustments!$I:$I,'Schedule 2G Adjustments'!$V$12,Adjustments!$J:$J,'Schedule 2G Adjustments'!$A30)</f>
        <v>0</v>
      </c>
      <c r="X30" s="309">
        <f t="shared" si="6"/>
        <v>0</v>
      </c>
      <c r="Y30" s="120">
        <f>'As-Filed Schedule 2G'!O30</f>
        <v>0</v>
      </c>
      <c r="Z30" s="313">
        <f>SUMIFS(Adjustments!$G:$G,Adjustments!$H:$H,"2G",Adjustments!$I:$I,'Schedule 2G Adjustments'!$Y$12,Adjustments!$J:$J,'Schedule 2G Adjustments'!$A30)</f>
        <v>0</v>
      </c>
      <c r="AA30" s="309">
        <f t="shared" si="7"/>
        <v>0</v>
      </c>
    </row>
    <row r="31" spans="1:27" x14ac:dyDescent="0.35">
      <c r="A31" s="24">
        <v>17</v>
      </c>
      <c r="B31" s="507" t="str">
        <f>IF('As-Filed Schedule 2G'!B31:D31=0,"",'As-Filed Schedule 2G'!B31:D31)</f>
        <v/>
      </c>
      <c r="C31" s="507"/>
      <c r="D31" s="507"/>
      <c r="F31" s="117">
        <f>'As-Filed Schedule 2G'!F31</f>
        <v>0</v>
      </c>
      <c r="G31" s="313">
        <f>SUMIFS(Adjustments!$G:$G,Adjustments!$H:$H,"2G",Adjustments!$I:$I,'Schedule 2G Adjustments'!$F$12,Adjustments!$J:$J,'Schedule 2G Adjustments'!$A31)</f>
        <v>0</v>
      </c>
      <c r="H31" s="309">
        <f t="shared" si="0"/>
        <v>0</v>
      </c>
      <c r="I31" s="68">
        <f>IFERROR(F31*'As-Filed Schedule 1'!$E$103,0)</f>
        <v>0</v>
      </c>
      <c r="J31" s="310">
        <f>IFERROR(H31*'Adjusted Schedule 1'!$E$104,0)</f>
        <v>0</v>
      </c>
      <c r="K31" s="68">
        <f t="shared" si="1"/>
        <v>0</v>
      </c>
      <c r="L31" s="310">
        <f t="shared" si="2"/>
        <v>0</v>
      </c>
      <c r="N31" s="117">
        <f>'As-Filed Schedule 2G'!J31</f>
        <v>0</v>
      </c>
      <c r="O31" s="313">
        <f>SUMIFS(Adjustments!$G:$G,Adjustments!$H:$H,"2G",Adjustments!$I:$I,'Schedule 2G Adjustments'!$N$12,Adjustments!$J:$J,'Schedule 2G Adjustments'!$A31)</f>
        <v>0</v>
      </c>
      <c r="P31" s="309">
        <f t="shared" si="3"/>
        <v>0</v>
      </c>
      <c r="Q31" s="68">
        <f>IFERROR(N31*'As-Filed Schedule 1'!$E$103,0)</f>
        <v>0</v>
      </c>
      <c r="R31" s="68">
        <f>IFERROR(P31*'Adjusted Schedule 1'!$E$104,0)</f>
        <v>0</v>
      </c>
      <c r="S31" s="68">
        <f t="shared" si="4"/>
        <v>0</v>
      </c>
      <c r="T31" s="310">
        <f t="shared" si="5"/>
        <v>0</v>
      </c>
      <c r="V31" s="120">
        <f>'As-Filed Schedule 2G'!N31</f>
        <v>0</v>
      </c>
      <c r="W31" s="313">
        <f>SUMIFS(Adjustments!$G:$G,Adjustments!$H:$H,"2G",Adjustments!$I:$I,'Schedule 2G Adjustments'!$V$12,Adjustments!$J:$J,'Schedule 2G Adjustments'!$A31)</f>
        <v>0</v>
      </c>
      <c r="X31" s="309">
        <f t="shared" si="6"/>
        <v>0</v>
      </c>
      <c r="Y31" s="120">
        <f>'As-Filed Schedule 2G'!O31</f>
        <v>0</v>
      </c>
      <c r="Z31" s="313">
        <f>SUMIFS(Adjustments!$G:$G,Adjustments!$H:$H,"2G",Adjustments!$I:$I,'Schedule 2G Adjustments'!$Y$12,Adjustments!$J:$J,'Schedule 2G Adjustments'!$A31)</f>
        <v>0</v>
      </c>
      <c r="AA31" s="309">
        <f t="shared" si="7"/>
        <v>0</v>
      </c>
    </row>
    <row r="32" spans="1:27" x14ac:dyDescent="0.35">
      <c r="A32" s="24">
        <v>18</v>
      </c>
      <c r="B32" s="507" t="str">
        <f>IF('As-Filed Schedule 2G'!B32:D32=0,"",'As-Filed Schedule 2G'!B32:D32)</f>
        <v/>
      </c>
      <c r="C32" s="507"/>
      <c r="D32" s="507"/>
      <c r="F32" s="117">
        <f>'As-Filed Schedule 2G'!F32</f>
        <v>0</v>
      </c>
      <c r="G32" s="313">
        <f>SUMIFS(Adjustments!$G:$G,Adjustments!$H:$H,"2G",Adjustments!$I:$I,'Schedule 2G Adjustments'!$F$12,Adjustments!$J:$J,'Schedule 2G Adjustments'!$A32)</f>
        <v>0</v>
      </c>
      <c r="H32" s="309">
        <f t="shared" si="0"/>
        <v>0</v>
      </c>
      <c r="I32" s="68">
        <f>IFERROR(F32*'As-Filed Schedule 1'!$E$103,0)</f>
        <v>0</v>
      </c>
      <c r="J32" s="310">
        <f>IFERROR(H32*'Adjusted Schedule 1'!$E$104,0)</f>
        <v>0</v>
      </c>
      <c r="K32" s="68">
        <f t="shared" si="1"/>
        <v>0</v>
      </c>
      <c r="L32" s="310">
        <f t="shared" si="2"/>
        <v>0</v>
      </c>
      <c r="N32" s="117">
        <f>'As-Filed Schedule 2G'!J32</f>
        <v>0</v>
      </c>
      <c r="O32" s="313">
        <f>SUMIFS(Adjustments!$G:$G,Adjustments!$H:$H,"2G",Adjustments!$I:$I,'Schedule 2G Adjustments'!$N$12,Adjustments!$J:$J,'Schedule 2G Adjustments'!$A32)</f>
        <v>0</v>
      </c>
      <c r="P32" s="309">
        <f t="shared" si="3"/>
        <v>0</v>
      </c>
      <c r="Q32" s="68">
        <f>IFERROR(N32*'As-Filed Schedule 1'!$E$103,0)</f>
        <v>0</v>
      </c>
      <c r="R32" s="68">
        <f>IFERROR(P32*'Adjusted Schedule 1'!$E$104,0)</f>
        <v>0</v>
      </c>
      <c r="S32" s="68">
        <f t="shared" si="4"/>
        <v>0</v>
      </c>
      <c r="T32" s="310">
        <f t="shared" si="5"/>
        <v>0</v>
      </c>
      <c r="V32" s="120">
        <f>'As-Filed Schedule 2G'!N32</f>
        <v>0</v>
      </c>
      <c r="W32" s="313">
        <f>SUMIFS(Adjustments!$G:$G,Adjustments!$H:$H,"2G",Adjustments!$I:$I,'Schedule 2G Adjustments'!$V$12,Adjustments!$J:$J,'Schedule 2G Adjustments'!$A32)</f>
        <v>0</v>
      </c>
      <c r="X32" s="309">
        <f t="shared" si="6"/>
        <v>0</v>
      </c>
      <c r="Y32" s="120">
        <f>'As-Filed Schedule 2G'!O32</f>
        <v>0</v>
      </c>
      <c r="Z32" s="313">
        <f>SUMIFS(Adjustments!$G:$G,Adjustments!$H:$H,"2G",Adjustments!$I:$I,'Schedule 2G Adjustments'!$Y$12,Adjustments!$J:$J,'Schedule 2G Adjustments'!$A32)</f>
        <v>0</v>
      </c>
      <c r="AA32" s="309">
        <f t="shared" si="7"/>
        <v>0</v>
      </c>
    </row>
    <row r="33" spans="1:27" x14ac:dyDescent="0.35">
      <c r="A33" s="24">
        <v>19</v>
      </c>
      <c r="B33" s="507" t="str">
        <f>IF('As-Filed Schedule 2G'!B33:D33=0,"",'As-Filed Schedule 2G'!B33:D33)</f>
        <v/>
      </c>
      <c r="C33" s="507"/>
      <c r="D33" s="507"/>
      <c r="F33" s="117">
        <f>'As-Filed Schedule 2G'!F33</f>
        <v>0</v>
      </c>
      <c r="G33" s="313">
        <f>SUMIFS(Adjustments!$G:$G,Adjustments!$H:$H,"2G",Adjustments!$I:$I,'Schedule 2G Adjustments'!$F$12,Adjustments!$J:$J,'Schedule 2G Adjustments'!$A33)</f>
        <v>0</v>
      </c>
      <c r="H33" s="309">
        <f t="shared" si="0"/>
        <v>0</v>
      </c>
      <c r="I33" s="68">
        <f>IFERROR(F33*'As-Filed Schedule 1'!$E$103,0)</f>
        <v>0</v>
      </c>
      <c r="J33" s="310">
        <f>IFERROR(H33*'Adjusted Schedule 1'!$E$104,0)</f>
        <v>0</v>
      </c>
      <c r="K33" s="68">
        <f t="shared" si="1"/>
        <v>0</v>
      </c>
      <c r="L33" s="310">
        <f t="shared" si="2"/>
        <v>0</v>
      </c>
      <c r="N33" s="117">
        <f>'As-Filed Schedule 2G'!J33</f>
        <v>0</v>
      </c>
      <c r="O33" s="313">
        <f>SUMIFS(Adjustments!$G:$G,Adjustments!$H:$H,"2G",Adjustments!$I:$I,'Schedule 2G Adjustments'!$N$12,Adjustments!$J:$J,'Schedule 2G Adjustments'!$A33)</f>
        <v>0</v>
      </c>
      <c r="P33" s="309">
        <f t="shared" si="3"/>
        <v>0</v>
      </c>
      <c r="Q33" s="68">
        <f>IFERROR(N33*'As-Filed Schedule 1'!$E$103,0)</f>
        <v>0</v>
      </c>
      <c r="R33" s="68">
        <f>IFERROR(P33*'Adjusted Schedule 1'!$E$104,0)</f>
        <v>0</v>
      </c>
      <c r="S33" s="68">
        <f t="shared" si="4"/>
        <v>0</v>
      </c>
      <c r="T33" s="310">
        <f t="shared" si="5"/>
        <v>0</v>
      </c>
      <c r="V33" s="120">
        <f>'As-Filed Schedule 2G'!N33</f>
        <v>0</v>
      </c>
      <c r="W33" s="313">
        <f>SUMIFS(Adjustments!$G:$G,Adjustments!$H:$H,"2G",Adjustments!$I:$I,'Schedule 2G Adjustments'!$V$12,Adjustments!$J:$J,'Schedule 2G Adjustments'!$A33)</f>
        <v>0</v>
      </c>
      <c r="X33" s="309">
        <f t="shared" si="6"/>
        <v>0</v>
      </c>
      <c r="Y33" s="120">
        <f>'As-Filed Schedule 2G'!O33</f>
        <v>0</v>
      </c>
      <c r="Z33" s="313">
        <f>SUMIFS(Adjustments!$G:$G,Adjustments!$H:$H,"2G",Adjustments!$I:$I,'Schedule 2G Adjustments'!$Y$12,Adjustments!$J:$J,'Schedule 2G Adjustments'!$A33)</f>
        <v>0</v>
      </c>
      <c r="AA33" s="309">
        <f t="shared" si="7"/>
        <v>0</v>
      </c>
    </row>
    <row r="34" spans="1:27" x14ac:dyDescent="0.35">
      <c r="A34" s="24">
        <v>20</v>
      </c>
      <c r="B34" s="507" t="str">
        <f>IF('As-Filed Schedule 2G'!B34:D34=0,"",'As-Filed Schedule 2G'!B34:D34)</f>
        <v/>
      </c>
      <c r="C34" s="507"/>
      <c r="D34" s="507"/>
      <c r="F34" s="117">
        <f>'As-Filed Schedule 2G'!F34</f>
        <v>0</v>
      </c>
      <c r="G34" s="313">
        <f>SUMIFS(Adjustments!$G:$G,Adjustments!$H:$H,"2G",Adjustments!$I:$I,'Schedule 2G Adjustments'!$F$12,Adjustments!$J:$J,'Schedule 2G Adjustments'!$A34)</f>
        <v>0</v>
      </c>
      <c r="H34" s="309">
        <f t="shared" si="0"/>
        <v>0</v>
      </c>
      <c r="I34" s="68">
        <f>IFERROR(F34*'As-Filed Schedule 1'!$E$103,0)</f>
        <v>0</v>
      </c>
      <c r="J34" s="310">
        <f>IFERROR(H34*'Adjusted Schedule 1'!$E$104,0)</f>
        <v>0</v>
      </c>
      <c r="K34" s="68">
        <f t="shared" si="1"/>
        <v>0</v>
      </c>
      <c r="L34" s="310">
        <f t="shared" si="2"/>
        <v>0</v>
      </c>
      <c r="N34" s="117">
        <f>'As-Filed Schedule 2G'!J34</f>
        <v>0</v>
      </c>
      <c r="O34" s="313">
        <f>SUMIFS(Adjustments!$G:$G,Adjustments!$H:$H,"2G",Adjustments!$I:$I,'Schedule 2G Adjustments'!$N$12,Adjustments!$J:$J,'Schedule 2G Adjustments'!$A34)</f>
        <v>0</v>
      </c>
      <c r="P34" s="309">
        <f t="shared" si="3"/>
        <v>0</v>
      </c>
      <c r="Q34" s="68">
        <f>IFERROR(N34*'As-Filed Schedule 1'!$E$103,0)</f>
        <v>0</v>
      </c>
      <c r="R34" s="68">
        <f>IFERROR(P34*'Adjusted Schedule 1'!$E$104,0)</f>
        <v>0</v>
      </c>
      <c r="S34" s="68">
        <f t="shared" si="4"/>
        <v>0</v>
      </c>
      <c r="T34" s="310">
        <f t="shared" si="5"/>
        <v>0</v>
      </c>
      <c r="V34" s="120">
        <f>'As-Filed Schedule 2G'!N34</f>
        <v>0</v>
      </c>
      <c r="W34" s="313">
        <f>SUMIFS(Adjustments!$G:$G,Adjustments!$H:$H,"2G",Adjustments!$I:$I,'Schedule 2G Adjustments'!$V$12,Adjustments!$J:$J,'Schedule 2G Adjustments'!$A34)</f>
        <v>0</v>
      </c>
      <c r="X34" s="309">
        <f t="shared" si="6"/>
        <v>0</v>
      </c>
      <c r="Y34" s="120">
        <f>'As-Filed Schedule 2G'!O34</f>
        <v>0</v>
      </c>
      <c r="Z34" s="313">
        <f>SUMIFS(Adjustments!$G:$G,Adjustments!$H:$H,"2G",Adjustments!$I:$I,'Schedule 2G Adjustments'!$Y$12,Adjustments!$J:$J,'Schedule 2G Adjustments'!$A34)</f>
        <v>0</v>
      </c>
      <c r="AA34" s="309">
        <f t="shared" si="7"/>
        <v>0</v>
      </c>
    </row>
    <row r="35" spans="1:27" x14ac:dyDescent="0.35">
      <c r="A35" s="24">
        <v>21</v>
      </c>
      <c r="B35" s="507" t="str">
        <f>IF('As-Filed Schedule 2G'!B35:D35=0,"",'As-Filed Schedule 2G'!B35:D35)</f>
        <v/>
      </c>
      <c r="C35" s="507"/>
      <c r="D35" s="507"/>
      <c r="F35" s="117">
        <f>'As-Filed Schedule 2G'!F35</f>
        <v>0</v>
      </c>
      <c r="G35" s="313">
        <f>SUMIFS(Adjustments!$G:$G,Adjustments!$H:$H,"2G",Adjustments!$I:$I,'Schedule 2G Adjustments'!$F$12,Adjustments!$J:$J,'Schedule 2G Adjustments'!$A35)</f>
        <v>0</v>
      </c>
      <c r="H35" s="309">
        <f t="shared" si="0"/>
        <v>0</v>
      </c>
      <c r="I35" s="68">
        <f>IFERROR(F35*'As-Filed Schedule 1'!$E$103,0)</f>
        <v>0</v>
      </c>
      <c r="J35" s="310">
        <f>IFERROR(H35*'Adjusted Schedule 1'!$E$104,0)</f>
        <v>0</v>
      </c>
      <c r="K35" s="68">
        <f t="shared" si="1"/>
        <v>0</v>
      </c>
      <c r="L35" s="310">
        <f t="shared" si="2"/>
        <v>0</v>
      </c>
      <c r="N35" s="117">
        <f>'As-Filed Schedule 2G'!J35</f>
        <v>0</v>
      </c>
      <c r="O35" s="313">
        <f>SUMIFS(Adjustments!$G:$G,Adjustments!$H:$H,"2G",Adjustments!$I:$I,'Schedule 2G Adjustments'!$N$12,Adjustments!$J:$J,'Schedule 2G Adjustments'!$A35)</f>
        <v>0</v>
      </c>
      <c r="P35" s="309">
        <f t="shared" si="3"/>
        <v>0</v>
      </c>
      <c r="Q35" s="68">
        <f>IFERROR(N35*'As-Filed Schedule 1'!$E$103,0)</f>
        <v>0</v>
      </c>
      <c r="R35" s="68">
        <f>IFERROR(P35*'Adjusted Schedule 1'!$E$104,0)</f>
        <v>0</v>
      </c>
      <c r="S35" s="68">
        <f t="shared" si="4"/>
        <v>0</v>
      </c>
      <c r="T35" s="310">
        <f t="shared" si="5"/>
        <v>0</v>
      </c>
      <c r="V35" s="120">
        <f>'As-Filed Schedule 2G'!N35</f>
        <v>0</v>
      </c>
      <c r="W35" s="313">
        <f>SUMIFS(Adjustments!$G:$G,Adjustments!$H:$H,"2G",Adjustments!$I:$I,'Schedule 2G Adjustments'!$V$12,Adjustments!$J:$J,'Schedule 2G Adjustments'!$A35)</f>
        <v>0</v>
      </c>
      <c r="X35" s="309">
        <f t="shared" si="6"/>
        <v>0</v>
      </c>
      <c r="Y35" s="120">
        <f>'As-Filed Schedule 2G'!O35</f>
        <v>0</v>
      </c>
      <c r="Z35" s="313">
        <f>SUMIFS(Adjustments!$G:$G,Adjustments!$H:$H,"2G",Adjustments!$I:$I,'Schedule 2G Adjustments'!$Y$12,Adjustments!$J:$J,'Schedule 2G Adjustments'!$A35)</f>
        <v>0</v>
      </c>
      <c r="AA35" s="309">
        <f t="shared" si="7"/>
        <v>0</v>
      </c>
    </row>
    <row r="36" spans="1:27" x14ac:dyDescent="0.35">
      <c r="A36" s="24">
        <v>22</v>
      </c>
      <c r="B36" s="507" t="str">
        <f>IF('As-Filed Schedule 2G'!B36:D36=0,"",'As-Filed Schedule 2G'!B36:D36)</f>
        <v/>
      </c>
      <c r="C36" s="507"/>
      <c r="D36" s="507"/>
      <c r="F36" s="117">
        <f>'As-Filed Schedule 2G'!F36</f>
        <v>0</v>
      </c>
      <c r="G36" s="313">
        <f>SUMIFS(Adjustments!$G:$G,Adjustments!$H:$H,"2G",Adjustments!$I:$I,'Schedule 2G Adjustments'!$F$12,Adjustments!$J:$J,'Schedule 2G Adjustments'!$A36)</f>
        <v>0</v>
      </c>
      <c r="H36" s="309">
        <f t="shared" si="0"/>
        <v>0</v>
      </c>
      <c r="I36" s="68">
        <f>IFERROR(F36*'As-Filed Schedule 1'!$E$103,0)</f>
        <v>0</v>
      </c>
      <c r="J36" s="310">
        <f>IFERROR(H36*'Adjusted Schedule 1'!$E$104,0)</f>
        <v>0</v>
      </c>
      <c r="K36" s="68">
        <f t="shared" si="1"/>
        <v>0</v>
      </c>
      <c r="L36" s="310">
        <f t="shared" si="2"/>
        <v>0</v>
      </c>
      <c r="N36" s="117">
        <f>'As-Filed Schedule 2G'!J36</f>
        <v>0</v>
      </c>
      <c r="O36" s="313">
        <f>SUMIFS(Adjustments!$G:$G,Adjustments!$H:$H,"2G",Adjustments!$I:$I,'Schedule 2G Adjustments'!$N$12,Adjustments!$J:$J,'Schedule 2G Adjustments'!$A36)</f>
        <v>0</v>
      </c>
      <c r="P36" s="309">
        <f t="shared" si="3"/>
        <v>0</v>
      </c>
      <c r="Q36" s="68">
        <f>IFERROR(N36*'As-Filed Schedule 1'!$E$103,0)</f>
        <v>0</v>
      </c>
      <c r="R36" s="68">
        <f>IFERROR(P36*'Adjusted Schedule 1'!$E$104,0)</f>
        <v>0</v>
      </c>
      <c r="S36" s="68">
        <f t="shared" si="4"/>
        <v>0</v>
      </c>
      <c r="T36" s="310">
        <f t="shared" si="5"/>
        <v>0</v>
      </c>
      <c r="V36" s="120">
        <f>'As-Filed Schedule 2G'!N36</f>
        <v>0</v>
      </c>
      <c r="W36" s="313">
        <f>SUMIFS(Adjustments!$G:$G,Adjustments!$H:$H,"2G",Adjustments!$I:$I,'Schedule 2G Adjustments'!$V$12,Adjustments!$J:$J,'Schedule 2G Adjustments'!$A36)</f>
        <v>0</v>
      </c>
      <c r="X36" s="309">
        <f t="shared" si="6"/>
        <v>0</v>
      </c>
      <c r="Y36" s="120">
        <f>'As-Filed Schedule 2G'!O36</f>
        <v>0</v>
      </c>
      <c r="Z36" s="313">
        <f>SUMIFS(Adjustments!$G:$G,Adjustments!$H:$H,"2G",Adjustments!$I:$I,'Schedule 2G Adjustments'!$Y$12,Adjustments!$J:$J,'Schedule 2G Adjustments'!$A36)</f>
        <v>0</v>
      </c>
      <c r="AA36" s="309">
        <f t="shared" si="7"/>
        <v>0</v>
      </c>
    </row>
    <row r="37" spans="1:27" x14ac:dyDescent="0.35">
      <c r="A37" s="24">
        <v>23</v>
      </c>
      <c r="B37" s="507" t="str">
        <f>IF('As-Filed Schedule 2G'!B37:D37=0,"",'As-Filed Schedule 2G'!B37:D37)</f>
        <v/>
      </c>
      <c r="C37" s="507"/>
      <c r="D37" s="507"/>
      <c r="F37" s="117">
        <f>'As-Filed Schedule 2G'!F37</f>
        <v>0</v>
      </c>
      <c r="G37" s="313">
        <f>SUMIFS(Adjustments!$G:$G,Adjustments!$H:$H,"2G",Adjustments!$I:$I,'Schedule 2G Adjustments'!$F$12,Adjustments!$J:$J,'Schedule 2G Adjustments'!$A37)</f>
        <v>0</v>
      </c>
      <c r="H37" s="309">
        <f t="shared" si="0"/>
        <v>0</v>
      </c>
      <c r="I37" s="68">
        <f>IFERROR(F37*'As-Filed Schedule 1'!$E$103,0)</f>
        <v>0</v>
      </c>
      <c r="J37" s="310">
        <f>IFERROR(H37*'Adjusted Schedule 1'!$E$104,0)</f>
        <v>0</v>
      </c>
      <c r="K37" s="68">
        <f t="shared" si="1"/>
        <v>0</v>
      </c>
      <c r="L37" s="310">
        <f t="shared" si="2"/>
        <v>0</v>
      </c>
      <c r="N37" s="117">
        <f>'As-Filed Schedule 2G'!J37</f>
        <v>0</v>
      </c>
      <c r="O37" s="313">
        <f>SUMIFS(Adjustments!$G:$G,Adjustments!$H:$H,"2G",Adjustments!$I:$I,'Schedule 2G Adjustments'!$N$12,Adjustments!$J:$J,'Schedule 2G Adjustments'!$A37)</f>
        <v>0</v>
      </c>
      <c r="P37" s="309">
        <f t="shared" si="3"/>
        <v>0</v>
      </c>
      <c r="Q37" s="68">
        <f>IFERROR(N37*'As-Filed Schedule 1'!$E$103,0)</f>
        <v>0</v>
      </c>
      <c r="R37" s="68">
        <f>IFERROR(P37*'Adjusted Schedule 1'!$E$104,0)</f>
        <v>0</v>
      </c>
      <c r="S37" s="68">
        <f t="shared" si="4"/>
        <v>0</v>
      </c>
      <c r="T37" s="310">
        <f t="shared" si="5"/>
        <v>0</v>
      </c>
      <c r="V37" s="120">
        <f>'As-Filed Schedule 2G'!N37</f>
        <v>0</v>
      </c>
      <c r="W37" s="313">
        <f>SUMIFS(Adjustments!$G:$G,Adjustments!$H:$H,"2G",Adjustments!$I:$I,'Schedule 2G Adjustments'!$V$12,Adjustments!$J:$J,'Schedule 2G Adjustments'!$A37)</f>
        <v>0</v>
      </c>
      <c r="X37" s="309">
        <f t="shared" si="6"/>
        <v>0</v>
      </c>
      <c r="Y37" s="120">
        <f>'As-Filed Schedule 2G'!O37</f>
        <v>0</v>
      </c>
      <c r="Z37" s="313">
        <f>SUMIFS(Adjustments!$G:$G,Adjustments!$H:$H,"2G",Adjustments!$I:$I,'Schedule 2G Adjustments'!$Y$12,Adjustments!$J:$J,'Schedule 2G Adjustments'!$A37)</f>
        <v>0</v>
      </c>
      <c r="AA37" s="309">
        <f t="shared" si="7"/>
        <v>0</v>
      </c>
    </row>
    <row r="38" spans="1:27" x14ac:dyDescent="0.35">
      <c r="A38" s="24">
        <v>24</v>
      </c>
      <c r="B38" s="507" t="str">
        <f>IF('As-Filed Schedule 2G'!B38:D38=0,"",'As-Filed Schedule 2G'!B38:D38)</f>
        <v/>
      </c>
      <c r="C38" s="507"/>
      <c r="D38" s="507"/>
      <c r="F38" s="117">
        <f>'As-Filed Schedule 2G'!F38</f>
        <v>0</v>
      </c>
      <c r="G38" s="313">
        <f>SUMIFS(Adjustments!$G:$G,Adjustments!$H:$H,"2G",Adjustments!$I:$I,'Schedule 2G Adjustments'!$F$12,Adjustments!$J:$J,'Schedule 2G Adjustments'!$A38)</f>
        <v>0</v>
      </c>
      <c r="H38" s="309">
        <f t="shared" si="0"/>
        <v>0</v>
      </c>
      <c r="I38" s="68">
        <f>IFERROR(F38*'As-Filed Schedule 1'!$E$103,0)</f>
        <v>0</v>
      </c>
      <c r="J38" s="310">
        <f>IFERROR(H38*'Adjusted Schedule 1'!$E$104,0)</f>
        <v>0</v>
      </c>
      <c r="K38" s="68">
        <f t="shared" si="1"/>
        <v>0</v>
      </c>
      <c r="L38" s="310">
        <f t="shared" si="2"/>
        <v>0</v>
      </c>
      <c r="N38" s="117">
        <f>'As-Filed Schedule 2G'!J38</f>
        <v>0</v>
      </c>
      <c r="O38" s="313">
        <f>SUMIFS(Adjustments!$G:$G,Adjustments!$H:$H,"2G",Adjustments!$I:$I,'Schedule 2G Adjustments'!$N$12,Adjustments!$J:$J,'Schedule 2G Adjustments'!$A38)</f>
        <v>0</v>
      </c>
      <c r="P38" s="309">
        <f t="shared" si="3"/>
        <v>0</v>
      </c>
      <c r="Q38" s="68">
        <f>IFERROR(N38*'As-Filed Schedule 1'!$E$103,0)</f>
        <v>0</v>
      </c>
      <c r="R38" s="68">
        <f>IFERROR(P38*'Adjusted Schedule 1'!$E$104,0)</f>
        <v>0</v>
      </c>
      <c r="S38" s="68">
        <f t="shared" si="4"/>
        <v>0</v>
      </c>
      <c r="T38" s="310">
        <f t="shared" si="5"/>
        <v>0</v>
      </c>
      <c r="V38" s="120">
        <f>'As-Filed Schedule 2G'!N38</f>
        <v>0</v>
      </c>
      <c r="W38" s="313">
        <f>SUMIFS(Adjustments!$G:$G,Adjustments!$H:$H,"2G",Adjustments!$I:$I,'Schedule 2G Adjustments'!$V$12,Adjustments!$J:$J,'Schedule 2G Adjustments'!$A38)</f>
        <v>0</v>
      </c>
      <c r="X38" s="309">
        <f t="shared" si="6"/>
        <v>0</v>
      </c>
      <c r="Y38" s="120">
        <f>'As-Filed Schedule 2G'!O38</f>
        <v>0</v>
      </c>
      <c r="Z38" s="313">
        <f>SUMIFS(Adjustments!$G:$G,Adjustments!$H:$H,"2G",Adjustments!$I:$I,'Schedule 2G Adjustments'!$Y$12,Adjustments!$J:$J,'Schedule 2G Adjustments'!$A38)</f>
        <v>0</v>
      </c>
      <c r="AA38" s="309">
        <f t="shared" si="7"/>
        <v>0</v>
      </c>
    </row>
    <row r="39" spans="1:27" x14ac:dyDescent="0.35">
      <c r="A39" s="24">
        <v>25</v>
      </c>
      <c r="B39" s="507" t="str">
        <f>IF('As-Filed Schedule 2G'!B39:D39=0,"",'As-Filed Schedule 2G'!B39:D39)</f>
        <v/>
      </c>
      <c r="C39" s="507"/>
      <c r="D39" s="507"/>
      <c r="F39" s="117">
        <f>'As-Filed Schedule 2G'!F39</f>
        <v>0</v>
      </c>
      <c r="G39" s="313">
        <f>SUMIFS(Adjustments!$G:$G,Adjustments!$H:$H,"2G",Adjustments!$I:$I,'Schedule 2G Adjustments'!$F$12,Adjustments!$J:$J,'Schedule 2G Adjustments'!$A39)</f>
        <v>0</v>
      </c>
      <c r="H39" s="309">
        <f t="shared" si="0"/>
        <v>0</v>
      </c>
      <c r="I39" s="68">
        <f>IFERROR(F39*'As-Filed Schedule 1'!$E$103,0)</f>
        <v>0</v>
      </c>
      <c r="J39" s="310">
        <f>IFERROR(H39*'Adjusted Schedule 1'!$E$104,0)</f>
        <v>0</v>
      </c>
      <c r="K39" s="68">
        <f t="shared" si="1"/>
        <v>0</v>
      </c>
      <c r="L39" s="310">
        <f t="shared" si="2"/>
        <v>0</v>
      </c>
      <c r="N39" s="117">
        <f>'As-Filed Schedule 2G'!J39</f>
        <v>0</v>
      </c>
      <c r="O39" s="313">
        <f>SUMIFS(Adjustments!$G:$G,Adjustments!$H:$H,"2G",Adjustments!$I:$I,'Schedule 2G Adjustments'!$N$12,Adjustments!$J:$J,'Schedule 2G Adjustments'!$A39)</f>
        <v>0</v>
      </c>
      <c r="P39" s="309">
        <f t="shared" si="3"/>
        <v>0</v>
      </c>
      <c r="Q39" s="68">
        <f>IFERROR(N39*'As-Filed Schedule 1'!$E$103,0)</f>
        <v>0</v>
      </c>
      <c r="R39" s="68">
        <f>IFERROR(P39*'Adjusted Schedule 1'!$E$104,0)</f>
        <v>0</v>
      </c>
      <c r="S39" s="68">
        <f t="shared" si="4"/>
        <v>0</v>
      </c>
      <c r="T39" s="310">
        <f t="shared" si="5"/>
        <v>0</v>
      </c>
      <c r="V39" s="120">
        <f>'As-Filed Schedule 2G'!N39</f>
        <v>0</v>
      </c>
      <c r="W39" s="313">
        <f>SUMIFS(Adjustments!$G:$G,Adjustments!$H:$H,"2G",Adjustments!$I:$I,'Schedule 2G Adjustments'!$V$12,Adjustments!$J:$J,'Schedule 2G Adjustments'!$A39)</f>
        <v>0</v>
      </c>
      <c r="X39" s="309">
        <f t="shared" si="6"/>
        <v>0</v>
      </c>
      <c r="Y39" s="120">
        <f>'As-Filed Schedule 2G'!O39</f>
        <v>0</v>
      </c>
      <c r="Z39" s="313">
        <f>SUMIFS(Adjustments!$G:$G,Adjustments!$H:$H,"2G",Adjustments!$I:$I,'Schedule 2G Adjustments'!$Y$12,Adjustments!$J:$J,'Schedule 2G Adjustments'!$A39)</f>
        <v>0</v>
      </c>
      <c r="AA39" s="309">
        <f t="shared" si="7"/>
        <v>0</v>
      </c>
    </row>
    <row r="40" spans="1:27" x14ac:dyDescent="0.35">
      <c r="A40" s="24">
        <v>26</v>
      </c>
      <c r="B40" s="507" t="str">
        <f>IF('As-Filed Schedule 2G'!B40:D40=0,"",'As-Filed Schedule 2G'!B40:D40)</f>
        <v/>
      </c>
      <c r="C40" s="507"/>
      <c r="D40" s="507"/>
      <c r="F40" s="117">
        <f>'As-Filed Schedule 2G'!F40</f>
        <v>0</v>
      </c>
      <c r="G40" s="313">
        <f>SUMIFS(Adjustments!$G:$G,Adjustments!$H:$H,"2G",Adjustments!$I:$I,'Schedule 2G Adjustments'!$F$12,Adjustments!$J:$J,'Schedule 2G Adjustments'!$A40)</f>
        <v>0</v>
      </c>
      <c r="H40" s="309">
        <f t="shared" si="0"/>
        <v>0</v>
      </c>
      <c r="I40" s="68">
        <f>IFERROR(F40*'As-Filed Schedule 1'!$E$103,0)</f>
        <v>0</v>
      </c>
      <c r="J40" s="310">
        <f>IFERROR(H40*'Adjusted Schedule 1'!$E$104,0)</f>
        <v>0</v>
      </c>
      <c r="K40" s="68">
        <f t="shared" si="1"/>
        <v>0</v>
      </c>
      <c r="L40" s="310">
        <f t="shared" si="2"/>
        <v>0</v>
      </c>
      <c r="N40" s="117">
        <f>'As-Filed Schedule 2G'!J40</f>
        <v>0</v>
      </c>
      <c r="O40" s="313">
        <f>SUMIFS(Adjustments!$G:$G,Adjustments!$H:$H,"2G",Adjustments!$I:$I,'Schedule 2G Adjustments'!$N$12,Adjustments!$J:$J,'Schedule 2G Adjustments'!$A40)</f>
        <v>0</v>
      </c>
      <c r="P40" s="309">
        <f t="shared" si="3"/>
        <v>0</v>
      </c>
      <c r="Q40" s="68">
        <f>IFERROR(N40*'As-Filed Schedule 1'!$E$103,0)</f>
        <v>0</v>
      </c>
      <c r="R40" s="68">
        <f>IFERROR(P40*'Adjusted Schedule 1'!$E$104,0)</f>
        <v>0</v>
      </c>
      <c r="S40" s="68">
        <f t="shared" si="4"/>
        <v>0</v>
      </c>
      <c r="T40" s="310">
        <f t="shared" si="5"/>
        <v>0</v>
      </c>
      <c r="V40" s="120">
        <f>'As-Filed Schedule 2G'!N40</f>
        <v>0</v>
      </c>
      <c r="W40" s="313">
        <f>SUMIFS(Adjustments!$G:$G,Adjustments!$H:$H,"2G",Adjustments!$I:$I,'Schedule 2G Adjustments'!$V$12,Adjustments!$J:$J,'Schedule 2G Adjustments'!$A40)</f>
        <v>0</v>
      </c>
      <c r="X40" s="309">
        <f t="shared" si="6"/>
        <v>0</v>
      </c>
      <c r="Y40" s="120">
        <f>'As-Filed Schedule 2G'!O40</f>
        <v>0</v>
      </c>
      <c r="Z40" s="313">
        <f>SUMIFS(Adjustments!$G:$G,Adjustments!$H:$H,"2G",Adjustments!$I:$I,'Schedule 2G Adjustments'!$Y$12,Adjustments!$J:$J,'Schedule 2G Adjustments'!$A40)</f>
        <v>0</v>
      </c>
      <c r="AA40" s="309">
        <f t="shared" si="7"/>
        <v>0</v>
      </c>
    </row>
    <row r="41" spans="1:27" x14ac:dyDescent="0.35">
      <c r="A41" s="24">
        <v>27</v>
      </c>
      <c r="B41" s="507" t="str">
        <f>IF('As-Filed Schedule 2G'!B41:D41=0,"",'As-Filed Schedule 2G'!B41:D41)</f>
        <v/>
      </c>
      <c r="C41" s="507"/>
      <c r="D41" s="507"/>
      <c r="F41" s="117">
        <f>'As-Filed Schedule 2G'!F41</f>
        <v>0</v>
      </c>
      <c r="G41" s="313">
        <f>SUMIFS(Adjustments!$G:$G,Adjustments!$H:$H,"2G",Adjustments!$I:$I,'Schedule 2G Adjustments'!$F$12,Adjustments!$J:$J,'Schedule 2G Adjustments'!$A41)</f>
        <v>0</v>
      </c>
      <c r="H41" s="309">
        <f t="shared" si="0"/>
        <v>0</v>
      </c>
      <c r="I41" s="68">
        <f>IFERROR(F41*'As-Filed Schedule 1'!$E$103,0)</f>
        <v>0</v>
      </c>
      <c r="J41" s="310">
        <f>IFERROR(H41*'Adjusted Schedule 1'!$E$104,0)</f>
        <v>0</v>
      </c>
      <c r="K41" s="68">
        <f t="shared" si="1"/>
        <v>0</v>
      </c>
      <c r="L41" s="310">
        <f t="shared" si="2"/>
        <v>0</v>
      </c>
      <c r="N41" s="117">
        <f>'As-Filed Schedule 2G'!J41</f>
        <v>0</v>
      </c>
      <c r="O41" s="313">
        <f>SUMIFS(Adjustments!$G:$G,Adjustments!$H:$H,"2G",Adjustments!$I:$I,'Schedule 2G Adjustments'!$N$12,Adjustments!$J:$J,'Schedule 2G Adjustments'!$A41)</f>
        <v>0</v>
      </c>
      <c r="P41" s="309">
        <f t="shared" si="3"/>
        <v>0</v>
      </c>
      <c r="Q41" s="68">
        <f>IFERROR(N41*'As-Filed Schedule 1'!$E$103,0)</f>
        <v>0</v>
      </c>
      <c r="R41" s="68">
        <f>IFERROR(P41*'Adjusted Schedule 1'!$E$104,0)</f>
        <v>0</v>
      </c>
      <c r="S41" s="68">
        <f t="shared" si="4"/>
        <v>0</v>
      </c>
      <c r="T41" s="310">
        <f t="shared" si="5"/>
        <v>0</v>
      </c>
      <c r="V41" s="120">
        <f>'As-Filed Schedule 2G'!N41</f>
        <v>0</v>
      </c>
      <c r="W41" s="313">
        <f>SUMIFS(Adjustments!$G:$G,Adjustments!$H:$H,"2G",Adjustments!$I:$I,'Schedule 2G Adjustments'!$V$12,Adjustments!$J:$J,'Schedule 2G Adjustments'!$A41)</f>
        <v>0</v>
      </c>
      <c r="X41" s="309">
        <f t="shared" si="6"/>
        <v>0</v>
      </c>
      <c r="Y41" s="120">
        <f>'As-Filed Schedule 2G'!O41</f>
        <v>0</v>
      </c>
      <c r="Z41" s="313">
        <f>SUMIFS(Adjustments!$G:$G,Adjustments!$H:$H,"2G",Adjustments!$I:$I,'Schedule 2G Adjustments'!$Y$12,Adjustments!$J:$J,'Schedule 2G Adjustments'!$A41)</f>
        <v>0</v>
      </c>
      <c r="AA41" s="309">
        <f t="shared" si="7"/>
        <v>0</v>
      </c>
    </row>
    <row r="42" spans="1:27" x14ac:dyDescent="0.35">
      <c r="A42" s="24">
        <v>28</v>
      </c>
      <c r="B42" s="507" t="str">
        <f>IF('As-Filed Schedule 2G'!B42:D42=0,"",'As-Filed Schedule 2G'!B42:D42)</f>
        <v/>
      </c>
      <c r="C42" s="507"/>
      <c r="D42" s="507"/>
      <c r="F42" s="117">
        <f>'As-Filed Schedule 2G'!F42</f>
        <v>0</v>
      </c>
      <c r="G42" s="313">
        <f>SUMIFS(Adjustments!$G:$G,Adjustments!$H:$H,"2G",Adjustments!$I:$I,'Schedule 2G Adjustments'!$F$12,Adjustments!$J:$J,'Schedule 2G Adjustments'!$A42)</f>
        <v>0</v>
      </c>
      <c r="H42" s="309">
        <f t="shared" si="0"/>
        <v>0</v>
      </c>
      <c r="I42" s="68">
        <f>IFERROR(F42*'As-Filed Schedule 1'!$E$103,0)</f>
        <v>0</v>
      </c>
      <c r="J42" s="310">
        <f>IFERROR(H42*'Adjusted Schedule 1'!$E$104,0)</f>
        <v>0</v>
      </c>
      <c r="K42" s="68">
        <f t="shared" si="1"/>
        <v>0</v>
      </c>
      <c r="L42" s="310">
        <f t="shared" si="2"/>
        <v>0</v>
      </c>
      <c r="N42" s="117">
        <f>'As-Filed Schedule 2G'!J42</f>
        <v>0</v>
      </c>
      <c r="O42" s="313">
        <f>SUMIFS(Adjustments!$G:$G,Adjustments!$H:$H,"2G",Adjustments!$I:$I,'Schedule 2G Adjustments'!$N$12,Adjustments!$J:$J,'Schedule 2G Adjustments'!$A42)</f>
        <v>0</v>
      </c>
      <c r="P42" s="309">
        <f t="shared" si="3"/>
        <v>0</v>
      </c>
      <c r="Q42" s="68">
        <f>IFERROR(N42*'As-Filed Schedule 1'!$E$103,0)</f>
        <v>0</v>
      </c>
      <c r="R42" s="68">
        <f>IFERROR(P42*'Adjusted Schedule 1'!$E$104,0)</f>
        <v>0</v>
      </c>
      <c r="S42" s="68">
        <f t="shared" si="4"/>
        <v>0</v>
      </c>
      <c r="T42" s="310">
        <f t="shared" si="5"/>
        <v>0</v>
      </c>
      <c r="V42" s="120">
        <f>'As-Filed Schedule 2G'!N42</f>
        <v>0</v>
      </c>
      <c r="W42" s="313">
        <f>SUMIFS(Adjustments!$G:$G,Adjustments!$H:$H,"2G",Adjustments!$I:$I,'Schedule 2G Adjustments'!$V$12,Adjustments!$J:$J,'Schedule 2G Adjustments'!$A42)</f>
        <v>0</v>
      </c>
      <c r="X42" s="309">
        <f t="shared" si="6"/>
        <v>0</v>
      </c>
      <c r="Y42" s="120">
        <f>'As-Filed Schedule 2G'!O42</f>
        <v>0</v>
      </c>
      <c r="Z42" s="313">
        <f>SUMIFS(Adjustments!$G:$G,Adjustments!$H:$H,"2G",Adjustments!$I:$I,'Schedule 2G Adjustments'!$Y$12,Adjustments!$J:$J,'Schedule 2G Adjustments'!$A42)</f>
        <v>0</v>
      </c>
      <c r="AA42" s="309">
        <f t="shared" si="7"/>
        <v>0</v>
      </c>
    </row>
    <row r="43" spans="1:27" x14ac:dyDescent="0.35">
      <c r="A43" s="24">
        <v>29</v>
      </c>
      <c r="B43" s="507" t="str">
        <f>IF('As-Filed Schedule 2G'!B43:D43=0,"",'As-Filed Schedule 2G'!B43:D43)</f>
        <v/>
      </c>
      <c r="C43" s="507"/>
      <c r="D43" s="507"/>
      <c r="F43" s="117">
        <f>'As-Filed Schedule 2G'!F43</f>
        <v>0</v>
      </c>
      <c r="G43" s="313">
        <f>SUMIFS(Adjustments!$G:$G,Adjustments!$H:$H,"2G",Adjustments!$I:$I,'Schedule 2G Adjustments'!$F$12,Adjustments!$J:$J,'Schedule 2G Adjustments'!$A43)</f>
        <v>0</v>
      </c>
      <c r="H43" s="309">
        <f t="shared" si="0"/>
        <v>0</v>
      </c>
      <c r="I43" s="68">
        <f>IFERROR(F43*'As-Filed Schedule 1'!$E$103,0)</f>
        <v>0</v>
      </c>
      <c r="J43" s="310">
        <f>IFERROR(H43*'Adjusted Schedule 1'!$E$104,0)</f>
        <v>0</v>
      </c>
      <c r="K43" s="68">
        <f t="shared" si="1"/>
        <v>0</v>
      </c>
      <c r="L43" s="310">
        <f t="shared" si="2"/>
        <v>0</v>
      </c>
      <c r="N43" s="117">
        <f>'As-Filed Schedule 2G'!J43</f>
        <v>0</v>
      </c>
      <c r="O43" s="313">
        <f>SUMIFS(Adjustments!$G:$G,Adjustments!$H:$H,"2G",Adjustments!$I:$I,'Schedule 2G Adjustments'!$N$12,Adjustments!$J:$J,'Schedule 2G Adjustments'!$A43)</f>
        <v>0</v>
      </c>
      <c r="P43" s="309">
        <f t="shared" si="3"/>
        <v>0</v>
      </c>
      <c r="Q43" s="68">
        <f>IFERROR(N43*'As-Filed Schedule 1'!$E$103,0)</f>
        <v>0</v>
      </c>
      <c r="R43" s="68">
        <f>IFERROR(P43*'Adjusted Schedule 1'!$E$104,0)</f>
        <v>0</v>
      </c>
      <c r="S43" s="68">
        <f t="shared" si="4"/>
        <v>0</v>
      </c>
      <c r="T43" s="310">
        <f t="shared" si="5"/>
        <v>0</v>
      </c>
      <c r="V43" s="120">
        <f>'As-Filed Schedule 2G'!N43</f>
        <v>0</v>
      </c>
      <c r="W43" s="313">
        <f>SUMIFS(Adjustments!$G:$G,Adjustments!$H:$H,"2G",Adjustments!$I:$I,'Schedule 2G Adjustments'!$V$12,Adjustments!$J:$J,'Schedule 2G Adjustments'!$A43)</f>
        <v>0</v>
      </c>
      <c r="X43" s="309">
        <f t="shared" si="6"/>
        <v>0</v>
      </c>
      <c r="Y43" s="120">
        <f>'As-Filed Schedule 2G'!O43</f>
        <v>0</v>
      </c>
      <c r="Z43" s="313">
        <f>SUMIFS(Adjustments!$G:$G,Adjustments!$H:$H,"2G",Adjustments!$I:$I,'Schedule 2G Adjustments'!$Y$12,Adjustments!$J:$J,'Schedule 2G Adjustments'!$A43)</f>
        <v>0</v>
      </c>
      <c r="AA43" s="309">
        <f t="shared" si="7"/>
        <v>0</v>
      </c>
    </row>
    <row r="44" spans="1:27" x14ac:dyDescent="0.35">
      <c r="A44" s="24">
        <v>30</v>
      </c>
      <c r="B44" s="507" t="str">
        <f>IF('As-Filed Schedule 2G'!B44:D44=0,"",'As-Filed Schedule 2G'!B44:D44)</f>
        <v/>
      </c>
      <c r="C44" s="507"/>
      <c r="D44" s="507"/>
      <c r="F44" s="117">
        <f>'As-Filed Schedule 2G'!F44</f>
        <v>0</v>
      </c>
      <c r="G44" s="313">
        <f>SUMIFS(Adjustments!$G:$G,Adjustments!$H:$H,"2G",Adjustments!$I:$I,'Schedule 2G Adjustments'!$F$12,Adjustments!$J:$J,'Schedule 2G Adjustments'!$A44)</f>
        <v>0</v>
      </c>
      <c r="H44" s="309">
        <f t="shared" si="0"/>
        <v>0</v>
      </c>
      <c r="I44" s="68">
        <f>IFERROR(F44*'As-Filed Schedule 1'!$E$103,0)</f>
        <v>0</v>
      </c>
      <c r="J44" s="310">
        <f>IFERROR(H44*'Adjusted Schedule 1'!$E$104,0)</f>
        <v>0</v>
      </c>
      <c r="K44" s="68">
        <f t="shared" si="1"/>
        <v>0</v>
      </c>
      <c r="L44" s="310">
        <f t="shared" si="2"/>
        <v>0</v>
      </c>
      <c r="N44" s="117">
        <f>'As-Filed Schedule 2G'!J44</f>
        <v>0</v>
      </c>
      <c r="O44" s="313">
        <f>SUMIFS(Adjustments!$G:$G,Adjustments!$H:$H,"2G",Adjustments!$I:$I,'Schedule 2G Adjustments'!$N$12,Adjustments!$J:$J,'Schedule 2G Adjustments'!$A44)</f>
        <v>0</v>
      </c>
      <c r="P44" s="309">
        <f t="shared" si="3"/>
        <v>0</v>
      </c>
      <c r="Q44" s="68">
        <f>IFERROR(N44*'As-Filed Schedule 1'!$E$103,0)</f>
        <v>0</v>
      </c>
      <c r="R44" s="68">
        <f>IFERROR(P44*'Adjusted Schedule 1'!$E$104,0)</f>
        <v>0</v>
      </c>
      <c r="S44" s="68">
        <f t="shared" si="4"/>
        <v>0</v>
      </c>
      <c r="T44" s="310">
        <f t="shared" si="5"/>
        <v>0</v>
      </c>
      <c r="V44" s="120">
        <f>'As-Filed Schedule 2G'!N44</f>
        <v>0</v>
      </c>
      <c r="W44" s="313">
        <f>SUMIFS(Adjustments!$G:$G,Adjustments!$H:$H,"2G",Adjustments!$I:$I,'Schedule 2G Adjustments'!$V$12,Adjustments!$J:$J,'Schedule 2G Adjustments'!$A44)</f>
        <v>0</v>
      </c>
      <c r="X44" s="309">
        <f t="shared" si="6"/>
        <v>0</v>
      </c>
      <c r="Y44" s="120">
        <f>'As-Filed Schedule 2G'!O44</f>
        <v>0</v>
      </c>
      <c r="Z44" s="313">
        <f>SUMIFS(Adjustments!$G:$G,Adjustments!$H:$H,"2G",Adjustments!$I:$I,'Schedule 2G Adjustments'!$Y$12,Adjustments!$J:$J,'Schedule 2G Adjustments'!$A44)</f>
        <v>0</v>
      </c>
      <c r="AA44" s="309">
        <f t="shared" si="7"/>
        <v>0</v>
      </c>
    </row>
    <row r="45" spans="1:27" x14ac:dyDescent="0.35">
      <c r="A45" s="24">
        <v>31</v>
      </c>
      <c r="B45" s="507" t="str">
        <f>IF('As-Filed Schedule 2G'!B45:D45=0,"",'As-Filed Schedule 2G'!B45:D45)</f>
        <v/>
      </c>
      <c r="C45" s="507"/>
      <c r="D45" s="507"/>
      <c r="F45" s="117">
        <f>'As-Filed Schedule 2G'!F45</f>
        <v>0</v>
      </c>
      <c r="G45" s="313">
        <f>SUMIFS(Adjustments!$G:$G,Adjustments!$H:$H,"2G",Adjustments!$I:$I,'Schedule 2G Adjustments'!$F$12,Adjustments!$J:$J,'Schedule 2G Adjustments'!$A45)</f>
        <v>0</v>
      </c>
      <c r="H45" s="309">
        <f t="shared" si="0"/>
        <v>0</v>
      </c>
      <c r="I45" s="68">
        <f>IFERROR(F45*'As-Filed Schedule 1'!$E$103,0)</f>
        <v>0</v>
      </c>
      <c r="J45" s="310">
        <f>IFERROR(H45*'Adjusted Schedule 1'!$E$104,0)</f>
        <v>0</v>
      </c>
      <c r="K45" s="68">
        <f t="shared" si="1"/>
        <v>0</v>
      </c>
      <c r="L45" s="310">
        <f t="shared" si="2"/>
        <v>0</v>
      </c>
      <c r="N45" s="117">
        <f>'As-Filed Schedule 2G'!J45</f>
        <v>0</v>
      </c>
      <c r="O45" s="313">
        <f>SUMIFS(Adjustments!$G:$G,Adjustments!$H:$H,"2G",Adjustments!$I:$I,'Schedule 2G Adjustments'!$N$12,Adjustments!$J:$J,'Schedule 2G Adjustments'!$A45)</f>
        <v>0</v>
      </c>
      <c r="P45" s="309">
        <f t="shared" si="3"/>
        <v>0</v>
      </c>
      <c r="Q45" s="68">
        <f>IFERROR(N45*'As-Filed Schedule 1'!$E$103,0)</f>
        <v>0</v>
      </c>
      <c r="R45" s="68">
        <f>IFERROR(P45*'Adjusted Schedule 1'!$E$104,0)</f>
        <v>0</v>
      </c>
      <c r="S45" s="68">
        <f t="shared" si="4"/>
        <v>0</v>
      </c>
      <c r="T45" s="310">
        <f t="shared" si="5"/>
        <v>0</v>
      </c>
      <c r="V45" s="120">
        <f>'As-Filed Schedule 2G'!N45</f>
        <v>0</v>
      </c>
      <c r="W45" s="313">
        <f>SUMIFS(Adjustments!$G:$G,Adjustments!$H:$H,"2G",Adjustments!$I:$I,'Schedule 2G Adjustments'!$V$12,Adjustments!$J:$J,'Schedule 2G Adjustments'!$A45)</f>
        <v>0</v>
      </c>
      <c r="X45" s="309">
        <f t="shared" si="6"/>
        <v>0</v>
      </c>
      <c r="Y45" s="120">
        <f>'As-Filed Schedule 2G'!O45</f>
        <v>0</v>
      </c>
      <c r="Z45" s="313">
        <f>SUMIFS(Adjustments!$G:$G,Adjustments!$H:$H,"2G",Adjustments!$I:$I,'Schedule 2G Adjustments'!$Y$12,Adjustments!$J:$J,'Schedule 2G Adjustments'!$A45)</f>
        <v>0</v>
      </c>
      <c r="AA45" s="309">
        <f t="shared" si="7"/>
        <v>0</v>
      </c>
    </row>
    <row r="46" spans="1:27" x14ac:dyDescent="0.35">
      <c r="A46" s="24">
        <v>32</v>
      </c>
      <c r="B46" s="507" t="str">
        <f>IF('As-Filed Schedule 2G'!B46:D46=0,"",'As-Filed Schedule 2G'!B46:D46)</f>
        <v/>
      </c>
      <c r="C46" s="507"/>
      <c r="D46" s="507"/>
      <c r="F46" s="117">
        <f>'As-Filed Schedule 2G'!F46</f>
        <v>0</v>
      </c>
      <c r="G46" s="313">
        <f>SUMIFS(Adjustments!$G:$G,Adjustments!$H:$H,"2G",Adjustments!$I:$I,'Schedule 2G Adjustments'!$F$12,Adjustments!$J:$J,'Schedule 2G Adjustments'!$A46)</f>
        <v>0</v>
      </c>
      <c r="H46" s="309">
        <f t="shared" si="0"/>
        <v>0</v>
      </c>
      <c r="I46" s="68">
        <f>IFERROR(F46*'As-Filed Schedule 1'!$E$103,0)</f>
        <v>0</v>
      </c>
      <c r="J46" s="310">
        <f>IFERROR(H46*'Adjusted Schedule 1'!$E$104,0)</f>
        <v>0</v>
      </c>
      <c r="K46" s="68">
        <f t="shared" si="1"/>
        <v>0</v>
      </c>
      <c r="L46" s="310">
        <f t="shared" si="2"/>
        <v>0</v>
      </c>
      <c r="N46" s="117">
        <f>'As-Filed Schedule 2G'!J46</f>
        <v>0</v>
      </c>
      <c r="O46" s="313">
        <f>SUMIFS(Adjustments!$G:$G,Adjustments!$H:$H,"2G",Adjustments!$I:$I,'Schedule 2G Adjustments'!$N$12,Adjustments!$J:$J,'Schedule 2G Adjustments'!$A46)</f>
        <v>0</v>
      </c>
      <c r="P46" s="309">
        <f t="shared" si="3"/>
        <v>0</v>
      </c>
      <c r="Q46" s="68">
        <f>IFERROR(N46*'As-Filed Schedule 1'!$E$103,0)</f>
        <v>0</v>
      </c>
      <c r="R46" s="68">
        <f>IFERROR(P46*'Adjusted Schedule 1'!$E$104,0)</f>
        <v>0</v>
      </c>
      <c r="S46" s="68">
        <f t="shared" si="4"/>
        <v>0</v>
      </c>
      <c r="T46" s="310">
        <f t="shared" si="5"/>
        <v>0</v>
      </c>
      <c r="V46" s="120">
        <f>'As-Filed Schedule 2G'!N46</f>
        <v>0</v>
      </c>
      <c r="W46" s="313">
        <f>SUMIFS(Adjustments!$G:$G,Adjustments!$H:$H,"2G",Adjustments!$I:$I,'Schedule 2G Adjustments'!$V$12,Adjustments!$J:$J,'Schedule 2G Adjustments'!$A46)</f>
        <v>0</v>
      </c>
      <c r="X46" s="309">
        <f t="shared" si="6"/>
        <v>0</v>
      </c>
      <c r="Y46" s="120">
        <f>'As-Filed Schedule 2G'!O46</f>
        <v>0</v>
      </c>
      <c r="Z46" s="313">
        <f>SUMIFS(Adjustments!$G:$G,Adjustments!$H:$H,"2G",Adjustments!$I:$I,'Schedule 2G Adjustments'!$Y$12,Adjustments!$J:$J,'Schedule 2G Adjustments'!$A46)</f>
        <v>0</v>
      </c>
      <c r="AA46" s="309">
        <f t="shared" si="7"/>
        <v>0</v>
      </c>
    </row>
    <row r="47" spans="1:27" x14ac:dyDescent="0.35">
      <c r="A47" s="24">
        <v>33</v>
      </c>
      <c r="B47" s="507" t="str">
        <f>IF('As-Filed Schedule 2G'!B47:D47=0,"",'As-Filed Schedule 2G'!B47:D47)</f>
        <v/>
      </c>
      <c r="C47" s="507"/>
      <c r="D47" s="507"/>
      <c r="F47" s="117">
        <f>'As-Filed Schedule 2G'!F47</f>
        <v>0</v>
      </c>
      <c r="G47" s="313">
        <f>SUMIFS(Adjustments!$G:$G,Adjustments!$H:$H,"2G",Adjustments!$I:$I,'Schedule 2G Adjustments'!$F$12,Adjustments!$J:$J,'Schedule 2G Adjustments'!$A47)</f>
        <v>0</v>
      </c>
      <c r="H47" s="309">
        <f t="shared" si="0"/>
        <v>0</v>
      </c>
      <c r="I47" s="68">
        <f>IFERROR(F47*'As-Filed Schedule 1'!$E$103,0)</f>
        <v>0</v>
      </c>
      <c r="J47" s="310">
        <f>IFERROR(H47*'Adjusted Schedule 1'!$E$104,0)</f>
        <v>0</v>
      </c>
      <c r="K47" s="68">
        <f t="shared" si="1"/>
        <v>0</v>
      </c>
      <c r="L47" s="310">
        <f t="shared" si="2"/>
        <v>0</v>
      </c>
      <c r="N47" s="117">
        <f>'As-Filed Schedule 2G'!J47</f>
        <v>0</v>
      </c>
      <c r="O47" s="313">
        <f>SUMIFS(Adjustments!$G:$G,Adjustments!$H:$H,"2G",Adjustments!$I:$I,'Schedule 2G Adjustments'!$N$12,Adjustments!$J:$J,'Schedule 2G Adjustments'!$A47)</f>
        <v>0</v>
      </c>
      <c r="P47" s="309">
        <f t="shared" si="3"/>
        <v>0</v>
      </c>
      <c r="Q47" s="68">
        <f>IFERROR(N47*'As-Filed Schedule 1'!$E$103,0)</f>
        <v>0</v>
      </c>
      <c r="R47" s="68">
        <f>IFERROR(P47*'Adjusted Schedule 1'!$E$104,0)</f>
        <v>0</v>
      </c>
      <c r="S47" s="68">
        <f t="shared" si="4"/>
        <v>0</v>
      </c>
      <c r="T47" s="310">
        <f t="shared" si="5"/>
        <v>0</v>
      </c>
      <c r="V47" s="120">
        <f>'As-Filed Schedule 2G'!N47</f>
        <v>0</v>
      </c>
      <c r="W47" s="313">
        <f>SUMIFS(Adjustments!$G:$G,Adjustments!$H:$H,"2G",Adjustments!$I:$I,'Schedule 2G Adjustments'!$V$12,Adjustments!$J:$J,'Schedule 2G Adjustments'!$A47)</f>
        <v>0</v>
      </c>
      <c r="X47" s="309">
        <f t="shared" si="6"/>
        <v>0</v>
      </c>
      <c r="Y47" s="120">
        <f>'As-Filed Schedule 2G'!O47</f>
        <v>0</v>
      </c>
      <c r="Z47" s="313">
        <f>SUMIFS(Adjustments!$G:$G,Adjustments!$H:$H,"2G",Adjustments!$I:$I,'Schedule 2G Adjustments'!$Y$12,Adjustments!$J:$J,'Schedule 2G Adjustments'!$A47)</f>
        <v>0</v>
      </c>
      <c r="AA47" s="309">
        <f t="shared" si="7"/>
        <v>0</v>
      </c>
    </row>
    <row r="48" spans="1:27" x14ac:dyDescent="0.35">
      <c r="A48" s="24">
        <v>34</v>
      </c>
      <c r="B48" s="507" t="str">
        <f>IF('As-Filed Schedule 2G'!B48:D48=0,"",'As-Filed Schedule 2G'!B48:D48)</f>
        <v/>
      </c>
      <c r="C48" s="507"/>
      <c r="D48" s="507"/>
      <c r="F48" s="117">
        <f>'As-Filed Schedule 2G'!F48</f>
        <v>0</v>
      </c>
      <c r="G48" s="313">
        <f>SUMIFS(Adjustments!$G:$G,Adjustments!$H:$H,"2G",Adjustments!$I:$I,'Schedule 2G Adjustments'!$F$12,Adjustments!$J:$J,'Schedule 2G Adjustments'!$A48)</f>
        <v>0</v>
      </c>
      <c r="H48" s="309">
        <f t="shared" si="0"/>
        <v>0</v>
      </c>
      <c r="I48" s="68">
        <f>IFERROR(F48*'As-Filed Schedule 1'!$E$103,0)</f>
        <v>0</v>
      </c>
      <c r="J48" s="310">
        <f>IFERROR(H48*'Adjusted Schedule 1'!$E$104,0)</f>
        <v>0</v>
      </c>
      <c r="K48" s="68">
        <f t="shared" si="1"/>
        <v>0</v>
      </c>
      <c r="L48" s="310">
        <f t="shared" si="2"/>
        <v>0</v>
      </c>
      <c r="N48" s="117">
        <f>'As-Filed Schedule 2G'!J48</f>
        <v>0</v>
      </c>
      <c r="O48" s="313">
        <f>SUMIFS(Adjustments!$G:$G,Adjustments!$H:$H,"2G",Adjustments!$I:$I,'Schedule 2G Adjustments'!$N$12,Adjustments!$J:$J,'Schedule 2G Adjustments'!$A48)</f>
        <v>0</v>
      </c>
      <c r="P48" s="309">
        <f t="shared" si="3"/>
        <v>0</v>
      </c>
      <c r="Q48" s="68">
        <f>IFERROR(N48*'As-Filed Schedule 1'!$E$103,0)</f>
        <v>0</v>
      </c>
      <c r="R48" s="68">
        <f>IFERROR(P48*'Adjusted Schedule 1'!$E$104,0)</f>
        <v>0</v>
      </c>
      <c r="S48" s="68">
        <f t="shared" si="4"/>
        <v>0</v>
      </c>
      <c r="T48" s="310">
        <f t="shared" si="5"/>
        <v>0</v>
      </c>
      <c r="V48" s="120">
        <f>'As-Filed Schedule 2G'!N48</f>
        <v>0</v>
      </c>
      <c r="W48" s="313">
        <f>SUMIFS(Adjustments!$G:$G,Adjustments!$H:$H,"2G",Adjustments!$I:$I,'Schedule 2G Adjustments'!$V$12,Adjustments!$J:$J,'Schedule 2G Adjustments'!$A48)</f>
        <v>0</v>
      </c>
      <c r="X48" s="309">
        <f t="shared" si="6"/>
        <v>0</v>
      </c>
      <c r="Y48" s="120">
        <f>'As-Filed Schedule 2G'!O48</f>
        <v>0</v>
      </c>
      <c r="Z48" s="313">
        <f>SUMIFS(Adjustments!$G:$G,Adjustments!$H:$H,"2G",Adjustments!$I:$I,'Schedule 2G Adjustments'!$Y$12,Adjustments!$J:$J,'Schedule 2G Adjustments'!$A48)</f>
        <v>0</v>
      </c>
      <c r="AA48" s="309">
        <f t="shared" si="7"/>
        <v>0</v>
      </c>
    </row>
    <row r="49" spans="1:27" x14ac:dyDescent="0.35">
      <c r="A49" s="24">
        <v>35</v>
      </c>
      <c r="B49" s="507" t="str">
        <f>IF('As-Filed Schedule 2G'!B49:D49=0,"",'As-Filed Schedule 2G'!B49:D49)</f>
        <v/>
      </c>
      <c r="C49" s="507"/>
      <c r="D49" s="507"/>
      <c r="F49" s="117">
        <f>'As-Filed Schedule 2G'!F49</f>
        <v>0</v>
      </c>
      <c r="G49" s="313">
        <f>SUMIFS(Adjustments!$G:$G,Adjustments!$H:$H,"2G",Adjustments!$I:$I,'Schedule 2G Adjustments'!$F$12,Adjustments!$J:$J,'Schedule 2G Adjustments'!$A49)</f>
        <v>0</v>
      </c>
      <c r="H49" s="309">
        <f t="shared" si="0"/>
        <v>0</v>
      </c>
      <c r="I49" s="68">
        <f>IFERROR(F49*'As-Filed Schedule 1'!$E$103,0)</f>
        <v>0</v>
      </c>
      <c r="J49" s="310">
        <f>IFERROR(H49*'Adjusted Schedule 1'!$E$104,0)</f>
        <v>0</v>
      </c>
      <c r="K49" s="68">
        <f t="shared" si="1"/>
        <v>0</v>
      </c>
      <c r="L49" s="310">
        <f t="shared" si="2"/>
        <v>0</v>
      </c>
      <c r="N49" s="117">
        <f>'As-Filed Schedule 2G'!J49</f>
        <v>0</v>
      </c>
      <c r="O49" s="313">
        <f>SUMIFS(Adjustments!$G:$G,Adjustments!$H:$H,"2G",Adjustments!$I:$I,'Schedule 2G Adjustments'!$N$12,Adjustments!$J:$J,'Schedule 2G Adjustments'!$A49)</f>
        <v>0</v>
      </c>
      <c r="P49" s="309">
        <f t="shared" si="3"/>
        <v>0</v>
      </c>
      <c r="Q49" s="68">
        <f>IFERROR(N49*'As-Filed Schedule 1'!$E$103,0)</f>
        <v>0</v>
      </c>
      <c r="R49" s="68">
        <f>IFERROR(P49*'Adjusted Schedule 1'!$E$104,0)</f>
        <v>0</v>
      </c>
      <c r="S49" s="68">
        <f t="shared" si="4"/>
        <v>0</v>
      </c>
      <c r="T49" s="310">
        <f t="shared" si="5"/>
        <v>0</v>
      </c>
      <c r="V49" s="120">
        <f>'As-Filed Schedule 2G'!N49</f>
        <v>0</v>
      </c>
      <c r="W49" s="313">
        <f>SUMIFS(Adjustments!$G:$G,Adjustments!$H:$H,"2G",Adjustments!$I:$I,'Schedule 2G Adjustments'!$V$12,Adjustments!$J:$J,'Schedule 2G Adjustments'!$A49)</f>
        <v>0</v>
      </c>
      <c r="X49" s="309">
        <f t="shared" si="6"/>
        <v>0</v>
      </c>
      <c r="Y49" s="120">
        <f>'As-Filed Schedule 2G'!O49</f>
        <v>0</v>
      </c>
      <c r="Z49" s="313">
        <f>SUMIFS(Adjustments!$G:$G,Adjustments!$H:$H,"2G",Adjustments!$I:$I,'Schedule 2G Adjustments'!$Y$12,Adjustments!$J:$J,'Schedule 2G Adjustments'!$A49)</f>
        <v>0</v>
      </c>
      <c r="AA49" s="309">
        <f t="shared" si="7"/>
        <v>0</v>
      </c>
    </row>
    <row r="50" spans="1:27" x14ac:dyDescent="0.35">
      <c r="A50" s="24">
        <v>36</v>
      </c>
      <c r="B50" s="507" t="str">
        <f>IF('As-Filed Schedule 2G'!B50:D50=0,"",'As-Filed Schedule 2G'!B50:D50)</f>
        <v/>
      </c>
      <c r="C50" s="507"/>
      <c r="D50" s="507"/>
      <c r="F50" s="117">
        <f>'As-Filed Schedule 2G'!F50</f>
        <v>0</v>
      </c>
      <c r="G50" s="313">
        <f>SUMIFS(Adjustments!$G:$G,Adjustments!$H:$H,"2G",Adjustments!$I:$I,'Schedule 2G Adjustments'!$F$12,Adjustments!$J:$J,'Schedule 2G Adjustments'!$A50)</f>
        <v>0</v>
      </c>
      <c r="H50" s="309">
        <f t="shared" si="0"/>
        <v>0</v>
      </c>
      <c r="I50" s="68">
        <f>IFERROR(F50*'As-Filed Schedule 1'!$E$103,0)</f>
        <v>0</v>
      </c>
      <c r="J50" s="310">
        <f>IFERROR(H50*'Adjusted Schedule 1'!$E$104,0)</f>
        <v>0</v>
      </c>
      <c r="K50" s="68">
        <f t="shared" si="1"/>
        <v>0</v>
      </c>
      <c r="L50" s="310">
        <f t="shared" si="2"/>
        <v>0</v>
      </c>
      <c r="N50" s="117">
        <f>'As-Filed Schedule 2G'!J50</f>
        <v>0</v>
      </c>
      <c r="O50" s="313">
        <f>SUMIFS(Adjustments!$G:$G,Adjustments!$H:$H,"2G",Adjustments!$I:$I,'Schedule 2G Adjustments'!$N$12,Adjustments!$J:$J,'Schedule 2G Adjustments'!$A50)</f>
        <v>0</v>
      </c>
      <c r="P50" s="309">
        <f t="shared" si="3"/>
        <v>0</v>
      </c>
      <c r="Q50" s="68">
        <f>IFERROR(N50*'As-Filed Schedule 1'!$E$103,0)</f>
        <v>0</v>
      </c>
      <c r="R50" s="68">
        <f>IFERROR(P50*'Adjusted Schedule 1'!$E$104,0)</f>
        <v>0</v>
      </c>
      <c r="S50" s="68">
        <f t="shared" si="4"/>
        <v>0</v>
      </c>
      <c r="T50" s="310">
        <f t="shared" si="5"/>
        <v>0</v>
      </c>
      <c r="V50" s="120">
        <f>'As-Filed Schedule 2G'!N50</f>
        <v>0</v>
      </c>
      <c r="W50" s="313">
        <f>SUMIFS(Adjustments!$G:$G,Adjustments!$H:$H,"2G",Adjustments!$I:$I,'Schedule 2G Adjustments'!$V$12,Adjustments!$J:$J,'Schedule 2G Adjustments'!$A50)</f>
        <v>0</v>
      </c>
      <c r="X50" s="309">
        <f t="shared" si="6"/>
        <v>0</v>
      </c>
      <c r="Y50" s="120">
        <f>'As-Filed Schedule 2G'!O50</f>
        <v>0</v>
      </c>
      <c r="Z50" s="313">
        <f>SUMIFS(Adjustments!$G:$G,Adjustments!$H:$H,"2G",Adjustments!$I:$I,'Schedule 2G Adjustments'!$Y$12,Adjustments!$J:$J,'Schedule 2G Adjustments'!$A50)</f>
        <v>0</v>
      </c>
      <c r="AA50" s="309">
        <f t="shared" si="7"/>
        <v>0</v>
      </c>
    </row>
    <row r="51" spans="1:27" x14ac:dyDescent="0.35">
      <c r="A51" s="24">
        <v>37</v>
      </c>
      <c r="B51" s="507" t="str">
        <f>IF('As-Filed Schedule 2G'!B51:D51=0,"",'As-Filed Schedule 2G'!B51:D51)</f>
        <v/>
      </c>
      <c r="C51" s="507"/>
      <c r="D51" s="507"/>
      <c r="F51" s="117">
        <f>'As-Filed Schedule 2G'!F51</f>
        <v>0</v>
      </c>
      <c r="G51" s="313">
        <f>SUMIFS(Adjustments!$G:$G,Adjustments!$H:$H,"2G",Adjustments!$I:$I,'Schedule 2G Adjustments'!$F$12,Adjustments!$J:$J,'Schedule 2G Adjustments'!$A51)</f>
        <v>0</v>
      </c>
      <c r="H51" s="309">
        <f t="shared" si="0"/>
        <v>0</v>
      </c>
      <c r="I51" s="68">
        <f>IFERROR(F51*'As-Filed Schedule 1'!$E$103,0)</f>
        <v>0</v>
      </c>
      <c r="J51" s="310">
        <f>IFERROR(H51*'Adjusted Schedule 1'!$E$104,0)</f>
        <v>0</v>
      </c>
      <c r="K51" s="68">
        <f t="shared" si="1"/>
        <v>0</v>
      </c>
      <c r="L51" s="310">
        <f t="shared" si="2"/>
        <v>0</v>
      </c>
      <c r="N51" s="117">
        <f>'As-Filed Schedule 2G'!J51</f>
        <v>0</v>
      </c>
      <c r="O51" s="313">
        <f>SUMIFS(Adjustments!$G:$G,Adjustments!$H:$H,"2G",Adjustments!$I:$I,'Schedule 2G Adjustments'!$N$12,Adjustments!$J:$J,'Schedule 2G Adjustments'!$A51)</f>
        <v>0</v>
      </c>
      <c r="P51" s="309">
        <f t="shared" si="3"/>
        <v>0</v>
      </c>
      <c r="Q51" s="68">
        <f>IFERROR(N51*'As-Filed Schedule 1'!$E$103,0)</f>
        <v>0</v>
      </c>
      <c r="R51" s="68">
        <f>IFERROR(P51*'Adjusted Schedule 1'!$E$104,0)</f>
        <v>0</v>
      </c>
      <c r="S51" s="68">
        <f t="shared" si="4"/>
        <v>0</v>
      </c>
      <c r="T51" s="310">
        <f t="shared" si="5"/>
        <v>0</v>
      </c>
      <c r="V51" s="120">
        <f>'As-Filed Schedule 2G'!N51</f>
        <v>0</v>
      </c>
      <c r="W51" s="313">
        <f>SUMIFS(Adjustments!$G:$G,Adjustments!$H:$H,"2G",Adjustments!$I:$I,'Schedule 2G Adjustments'!$V$12,Adjustments!$J:$J,'Schedule 2G Adjustments'!$A51)</f>
        <v>0</v>
      </c>
      <c r="X51" s="309">
        <f t="shared" si="6"/>
        <v>0</v>
      </c>
      <c r="Y51" s="120">
        <f>'As-Filed Schedule 2G'!O51</f>
        <v>0</v>
      </c>
      <c r="Z51" s="313">
        <f>SUMIFS(Adjustments!$G:$G,Adjustments!$H:$H,"2G",Adjustments!$I:$I,'Schedule 2G Adjustments'!$Y$12,Adjustments!$J:$J,'Schedule 2G Adjustments'!$A51)</f>
        <v>0</v>
      </c>
      <c r="AA51" s="309">
        <f t="shared" si="7"/>
        <v>0</v>
      </c>
    </row>
    <row r="52" spans="1:27" x14ac:dyDescent="0.35">
      <c r="A52" s="24">
        <v>38</v>
      </c>
      <c r="B52" s="507" t="str">
        <f>IF('As-Filed Schedule 2G'!B52:D52=0,"",'As-Filed Schedule 2G'!B52:D52)</f>
        <v/>
      </c>
      <c r="C52" s="507"/>
      <c r="D52" s="507"/>
      <c r="F52" s="117">
        <f>'As-Filed Schedule 2G'!F52</f>
        <v>0</v>
      </c>
      <c r="G52" s="313">
        <f>SUMIFS(Adjustments!$G:$G,Adjustments!$H:$H,"2G",Adjustments!$I:$I,'Schedule 2G Adjustments'!$F$12,Adjustments!$J:$J,'Schedule 2G Adjustments'!$A52)</f>
        <v>0</v>
      </c>
      <c r="H52" s="309">
        <f t="shared" si="0"/>
        <v>0</v>
      </c>
      <c r="I52" s="68">
        <f>IFERROR(F52*'As-Filed Schedule 1'!$E$103,0)</f>
        <v>0</v>
      </c>
      <c r="J52" s="310">
        <f>IFERROR(H52*'Adjusted Schedule 1'!$E$104,0)</f>
        <v>0</v>
      </c>
      <c r="K52" s="68">
        <f t="shared" si="1"/>
        <v>0</v>
      </c>
      <c r="L52" s="310">
        <f t="shared" si="2"/>
        <v>0</v>
      </c>
      <c r="N52" s="117">
        <f>'As-Filed Schedule 2G'!J52</f>
        <v>0</v>
      </c>
      <c r="O52" s="313">
        <f>SUMIFS(Adjustments!$G:$G,Adjustments!$H:$H,"2G",Adjustments!$I:$I,'Schedule 2G Adjustments'!$N$12,Adjustments!$J:$J,'Schedule 2G Adjustments'!$A52)</f>
        <v>0</v>
      </c>
      <c r="P52" s="309">
        <f t="shared" si="3"/>
        <v>0</v>
      </c>
      <c r="Q52" s="68">
        <f>IFERROR(N52*'As-Filed Schedule 1'!$E$103,0)</f>
        <v>0</v>
      </c>
      <c r="R52" s="68">
        <f>IFERROR(P52*'Adjusted Schedule 1'!$E$104,0)</f>
        <v>0</v>
      </c>
      <c r="S52" s="68">
        <f t="shared" si="4"/>
        <v>0</v>
      </c>
      <c r="T52" s="310">
        <f t="shared" si="5"/>
        <v>0</v>
      </c>
      <c r="V52" s="120">
        <f>'As-Filed Schedule 2G'!N52</f>
        <v>0</v>
      </c>
      <c r="W52" s="313">
        <f>SUMIFS(Adjustments!$G:$G,Adjustments!$H:$H,"2G",Adjustments!$I:$I,'Schedule 2G Adjustments'!$V$12,Adjustments!$J:$J,'Schedule 2G Adjustments'!$A52)</f>
        <v>0</v>
      </c>
      <c r="X52" s="309">
        <f t="shared" si="6"/>
        <v>0</v>
      </c>
      <c r="Y52" s="120">
        <f>'As-Filed Schedule 2G'!O52</f>
        <v>0</v>
      </c>
      <c r="Z52" s="313">
        <f>SUMIFS(Adjustments!$G:$G,Adjustments!$H:$H,"2G",Adjustments!$I:$I,'Schedule 2G Adjustments'!$Y$12,Adjustments!$J:$J,'Schedule 2G Adjustments'!$A52)</f>
        <v>0</v>
      </c>
      <c r="AA52" s="309">
        <f t="shared" si="7"/>
        <v>0</v>
      </c>
    </row>
    <row r="53" spans="1:27" x14ac:dyDescent="0.35">
      <c r="A53" s="24">
        <v>39</v>
      </c>
      <c r="B53" s="507" t="str">
        <f>IF('As-Filed Schedule 2G'!B53:D53=0,"",'As-Filed Schedule 2G'!B53:D53)</f>
        <v/>
      </c>
      <c r="C53" s="507"/>
      <c r="D53" s="507"/>
      <c r="F53" s="117">
        <f>'As-Filed Schedule 2G'!F53</f>
        <v>0</v>
      </c>
      <c r="G53" s="313">
        <f>SUMIFS(Adjustments!$G:$G,Adjustments!$H:$H,"2G",Adjustments!$I:$I,'Schedule 2G Adjustments'!$F$12,Adjustments!$J:$J,'Schedule 2G Adjustments'!$A53)</f>
        <v>0</v>
      </c>
      <c r="H53" s="309">
        <f t="shared" si="0"/>
        <v>0</v>
      </c>
      <c r="I53" s="68">
        <f>IFERROR(F53*'As-Filed Schedule 1'!$E$103,0)</f>
        <v>0</v>
      </c>
      <c r="J53" s="310">
        <f>IFERROR(H53*'Adjusted Schedule 1'!$E$104,0)</f>
        <v>0</v>
      </c>
      <c r="K53" s="68">
        <f t="shared" si="1"/>
        <v>0</v>
      </c>
      <c r="L53" s="310">
        <f t="shared" si="2"/>
        <v>0</v>
      </c>
      <c r="N53" s="117">
        <f>'As-Filed Schedule 2G'!J53</f>
        <v>0</v>
      </c>
      <c r="O53" s="313">
        <f>SUMIFS(Adjustments!$G:$G,Adjustments!$H:$H,"2G",Adjustments!$I:$I,'Schedule 2G Adjustments'!$N$12,Adjustments!$J:$J,'Schedule 2G Adjustments'!$A53)</f>
        <v>0</v>
      </c>
      <c r="P53" s="309">
        <f t="shared" si="3"/>
        <v>0</v>
      </c>
      <c r="Q53" s="68">
        <f>IFERROR(N53*'As-Filed Schedule 1'!$E$103,0)</f>
        <v>0</v>
      </c>
      <c r="R53" s="68">
        <f>IFERROR(P53*'Adjusted Schedule 1'!$E$104,0)</f>
        <v>0</v>
      </c>
      <c r="S53" s="68">
        <f t="shared" si="4"/>
        <v>0</v>
      </c>
      <c r="T53" s="310">
        <f t="shared" si="5"/>
        <v>0</v>
      </c>
      <c r="V53" s="120">
        <f>'As-Filed Schedule 2G'!N53</f>
        <v>0</v>
      </c>
      <c r="W53" s="313">
        <f>SUMIFS(Adjustments!$G:$G,Adjustments!$H:$H,"2G",Adjustments!$I:$I,'Schedule 2G Adjustments'!$V$12,Adjustments!$J:$J,'Schedule 2G Adjustments'!$A53)</f>
        <v>0</v>
      </c>
      <c r="X53" s="309">
        <f t="shared" si="6"/>
        <v>0</v>
      </c>
      <c r="Y53" s="120">
        <f>'As-Filed Schedule 2G'!O53</f>
        <v>0</v>
      </c>
      <c r="Z53" s="313">
        <f>SUMIFS(Adjustments!$G:$G,Adjustments!$H:$H,"2G",Adjustments!$I:$I,'Schedule 2G Adjustments'!$Y$12,Adjustments!$J:$J,'Schedule 2G Adjustments'!$A53)</f>
        <v>0</v>
      </c>
      <c r="AA53" s="309">
        <f t="shared" si="7"/>
        <v>0</v>
      </c>
    </row>
    <row r="54" spans="1:27" x14ac:dyDescent="0.35">
      <c r="A54" s="24">
        <v>40</v>
      </c>
      <c r="B54" s="507" t="str">
        <f>IF('As-Filed Schedule 2G'!B54:D54=0,"",'As-Filed Schedule 2G'!B54:D54)</f>
        <v/>
      </c>
      <c r="C54" s="507"/>
      <c r="D54" s="507"/>
      <c r="F54" s="117">
        <f>'As-Filed Schedule 2G'!F54</f>
        <v>0</v>
      </c>
      <c r="G54" s="313">
        <f>SUMIFS(Adjustments!$G:$G,Adjustments!$H:$H,"2G",Adjustments!$I:$I,'Schedule 2G Adjustments'!$F$12,Adjustments!$J:$J,'Schedule 2G Adjustments'!$A54)</f>
        <v>0</v>
      </c>
      <c r="H54" s="309">
        <f t="shared" si="0"/>
        <v>0</v>
      </c>
      <c r="I54" s="68">
        <f>IFERROR(F54*'As-Filed Schedule 1'!$E$103,0)</f>
        <v>0</v>
      </c>
      <c r="J54" s="310">
        <f>IFERROR(H54*'Adjusted Schedule 1'!$E$104,0)</f>
        <v>0</v>
      </c>
      <c r="K54" s="68">
        <f t="shared" si="1"/>
        <v>0</v>
      </c>
      <c r="L54" s="310">
        <f t="shared" si="2"/>
        <v>0</v>
      </c>
      <c r="N54" s="117">
        <f>'As-Filed Schedule 2G'!J54</f>
        <v>0</v>
      </c>
      <c r="O54" s="313">
        <f>SUMIFS(Adjustments!$G:$G,Adjustments!$H:$H,"2G",Adjustments!$I:$I,'Schedule 2G Adjustments'!$N$12,Adjustments!$J:$J,'Schedule 2G Adjustments'!$A54)</f>
        <v>0</v>
      </c>
      <c r="P54" s="309">
        <f t="shared" si="3"/>
        <v>0</v>
      </c>
      <c r="Q54" s="68">
        <f>IFERROR(N54*'As-Filed Schedule 1'!$E$103,0)</f>
        <v>0</v>
      </c>
      <c r="R54" s="68">
        <f>IFERROR(P54*'Adjusted Schedule 1'!$E$104,0)</f>
        <v>0</v>
      </c>
      <c r="S54" s="68">
        <f t="shared" si="4"/>
        <v>0</v>
      </c>
      <c r="T54" s="310">
        <f t="shared" si="5"/>
        <v>0</v>
      </c>
      <c r="V54" s="120">
        <f>'As-Filed Schedule 2G'!N54</f>
        <v>0</v>
      </c>
      <c r="W54" s="313">
        <f>SUMIFS(Adjustments!$G:$G,Adjustments!$H:$H,"2G",Adjustments!$I:$I,'Schedule 2G Adjustments'!$V$12,Adjustments!$J:$J,'Schedule 2G Adjustments'!$A54)</f>
        <v>0</v>
      </c>
      <c r="X54" s="309">
        <f t="shared" si="6"/>
        <v>0</v>
      </c>
      <c r="Y54" s="120">
        <f>'As-Filed Schedule 2G'!O54</f>
        <v>0</v>
      </c>
      <c r="Z54" s="313">
        <f>SUMIFS(Adjustments!$G:$G,Adjustments!$H:$H,"2G",Adjustments!$I:$I,'Schedule 2G Adjustments'!$Y$12,Adjustments!$J:$J,'Schedule 2G Adjustments'!$A54)</f>
        <v>0</v>
      </c>
      <c r="AA54" s="309">
        <f t="shared" si="7"/>
        <v>0</v>
      </c>
    </row>
    <row r="55" spans="1:27" x14ac:dyDescent="0.35">
      <c r="A55" s="24">
        <v>41</v>
      </c>
      <c r="B55" s="507" t="str">
        <f>IF('As-Filed Schedule 2G'!B55:D55=0,"",'As-Filed Schedule 2G'!B55:D55)</f>
        <v/>
      </c>
      <c r="C55" s="507"/>
      <c r="D55" s="507"/>
      <c r="F55" s="117">
        <f>'As-Filed Schedule 2G'!F55</f>
        <v>0</v>
      </c>
      <c r="G55" s="313">
        <f>SUMIFS(Adjustments!$G:$G,Adjustments!$H:$H,"2G",Adjustments!$I:$I,'Schedule 2G Adjustments'!$F$12,Adjustments!$J:$J,'Schedule 2G Adjustments'!$A55)</f>
        <v>0</v>
      </c>
      <c r="H55" s="309">
        <f t="shared" si="0"/>
        <v>0</v>
      </c>
      <c r="I55" s="68">
        <f>IFERROR(F55*'As-Filed Schedule 1'!$E$103,0)</f>
        <v>0</v>
      </c>
      <c r="J55" s="310">
        <f>IFERROR(H55*'Adjusted Schedule 1'!$E$104,0)</f>
        <v>0</v>
      </c>
      <c r="K55" s="68">
        <f t="shared" si="1"/>
        <v>0</v>
      </c>
      <c r="L55" s="310">
        <f t="shared" si="2"/>
        <v>0</v>
      </c>
      <c r="N55" s="117">
        <f>'As-Filed Schedule 2G'!J55</f>
        <v>0</v>
      </c>
      <c r="O55" s="313">
        <f>SUMIFS(Adjustments!$G:$G,Adjustments!$H:$H,"2G",Adjustments!$I:$I,'Schedule 2G Adjustments'!$N$12,Adjustments!$J:$J,'Schedule 2G Adjustments'!$A55)</f>
        <v>0</v>
      </c>
      <c r="P55" s="309">
        <f t="shared" si="3"/>
        <v>0</v>
      </c>
      <c r="Q55" s="68">
        <f>IFERROR(N55*'As-Filed Schedule 1'!$E$103,0)</f>
        <v>0</v>
      </c>
      <c r="R55" s="68">
        <f>IFERROR(P55*'Adjusted Schedule 1'!$E$104,0)</f>
        <v>0</v>
      </c>
      <c r="S55" s="68">
        <f t="shared" si="4"/>
        <v>0</v>
      </c>
      <c r="T55" s="310">
        <f t="shared" si="5"/>
        <v>0</v>
      </c>
      <c r="V55" s="120">
        <f>'As-Filed Schedule 2G'!N55</f>
        <v>0</v>
      </c>
      <c r="W55" s="313">
        <f>SUMIFS(Adjustments!$G:$G,Adjustments!$H:$H,"2G",Adjustments!$I:$I,'Schedule 2G Adjustments'!$V$12,Adjustments!$J:$J,'Schedule 2G Adjustments'!$A55)</f>
        <v>0</v>
      </c>
      <c r="X55" s="309">
        <f t="shared" si="6"/>
        <v>0</v>
      </c>
      <c r="Y55" s="120">
        <f>'As-Filed Schedule 2G'!O55</f>
        <v>0</v>
      </c>
      <c r="Z55" s="313">
        <f>SUMIFS(Adjustments!$G:$G,Adjustments!$H:$H,"2G",Adjustments!$I:$I,'Schedule 2G Adjustments'!$Y$12,Adjustments!$J:$J,'Schedule 2G Adjustments'!$A55)</f>
        <v>0</v>
      </c>
      <c r="AA55" s="309">
        <f t="shared" si="7"/>
        <v>0</v>
      </c>
    </row>
    <row r="56" spans="1:27" x14ac:dyDescent="0.35">
      <c r="A56" s="24">
        <v>42</v>
      </c>
      <c r="B56" s="507" t="str">
        <f>IF('As-Filed Schedule 2G'!B56:D56=0,"",'As-Filed Schedule 2G'!B56:D56)</f>
        <v/>
      </c>
      <c r="C56" s="507"/>
      <c r="D56" s="507"/>
      <c r="F56" s="117">
        <f>'As-Filed Schedule 2G'!F56</f>
        <v>0</v>
      </c>
      <c r="G56" s="313">
        <f>SUMIFS(Adjustments!$G:$G,Adjustments!$H:$H,"2G",Adjustments!$I:$I,'Schedule 2G Adjustments'!$F$12,Adjustments!$J:$J,'Schedule 2G Adjustments'!$A56)</f>
        <v>0</v>
      </c>
      <c r="H56" s="309">
        <f t="shared" si="0"/>
        <v>0</v>
      </c>
      <c r="I56" s="68">
        <f>IFERROR(F56*'As-Filed Schedule 1'!$E$103,0)</f>
        <v>0</v>
      </c>
      <c r="J56" s="310">
        <f>IFERROR(H56*'Adjusted Schedule 1'!$E$104,0)</f>
        <v>0</v>
      </c>
      <c r="K56" s="68">
        <f t="shared" si="1"/>
        <v>0</v>
      </c>
      <c r="L56" s="310">
        <f t="shared" si="2"/>
        <v>0</v>
      </c>
      <c r="N56" s="117">
        <f>'As-Filed Schedule 2G'!J56</f>
        <v>0</v>
      </c>
      <c r="O56" s="313">
        <f>SUMIFS(Adjustments!$G:$G,Adjustments!$H:$H,"2G",Adjustments!$I:$I,'Schedule 2G Adjustments'!$N$12,Adjustments!$J:$J,'Schedule 2G Adjustments'!$A56)</f>
        <v>0</v>
      </c>
      <c r="P56" s="309">
        <f t="shared" si="3"/>
        <v>0</v>
      </c>
      <c r="Q56" s="68">
        <f>IFERROR(N56*'As-Filed Schedule 1'!$E$103,0)</f>
        <v>0</v>
      </c>
      <c r="R56" s="68">
        <f>IFERROR(P56*'Adjusted Schedule 1'!$E$104,0)</f>
        <v>0</v>
      </c>
      <c r="S56" s="68">
        <f t="shared" si="4"/>
        <v>0</v>
      </c>
      <c r="T56" s="310">
        <f t="shared" si="5"/>
        <v>0</v>
      </c>
      <c r="V56" s="120">
        <f>'As-Filed Schedule 2G'!N56</f>
        <v>0</v>
      </c>
      <c r="W56" s="313">
        <f>SUMIFS(Adjustments!$G:$G,Adjustments!$H:$H,"2G",Adjustments!$I:$I,'Schedule 2G Adjustments'!$V$12,Adjustments!$J:$J,'Schedule 2G Adjustments'!$A56)</f>
        <v>0</v>
      </c>
      <c r="X56" s="309">
        <f t="shared" si="6"/>
        <v>0</v>
      </c>
      <c r="Y56" s="120">
        <f>'As-Filed Schedule 2G'!O56</f>
        <v>0</v>
      </c>
      <c r="Z56" s="313">
        <f>SUMIFS(Adjustments!$G:$G,Adjustments!$H:$H,"2G",Adjustments!$I:$I,'Schedule 2G Adjustments'!$Y$12,Adjustments!$J:$J,'Schedule 2G Adjustments'!$A56)</f>
        <v>0</v>
      </c>
      <c r="AA56" s="309">
        <f t="shared" si="7"/>
        <v>0</v>
      </c>
    </row>
    <row r="57" spans="1:27" x14ac:dyDescent="0.35">
      <c r="A57" s="24">
        <v>43</v>
      </c>
      <c r="B57" s="507" t="str">
        <f>IF('As-Filed Schedule 2G'!B57:D57=0,"",'As-Filed Schedule 2G'!B57:D57)</f>
        <v/>
      </c>
      <c r="C57" s="507"/>
      <c r="D57" s="507"/>
      <c r="F57" s="117">
        <f>'As-Filed Schedule 2G'!F57</f>
        <v>0</v>
      </c>
      <c r="G57" s="313">
        <f>SUMIFS(Adjustments!$G:$G,Adjustments!$H:$H,"2G",Adjustments!$I:$I,'Schedule 2G Adjustments'!$F$12,Adjustments!$J:$J,'Schedule 2G Adjustments'!$A57)</f>
        <v>0</v>
      </c>
      <c r="H57" s="309">
        <f t="shared" si="0"/>
        <v>0</v>
      </c>
      <c r="I57" s="68">
        <f>IFERROR(F57*'As-Filed Schedule 1'!$E$103,0)</f>
        <v>0</v>
      </c>
      <c r="J57" s="310">
        <f>IFERROR(H57*'Adjusted Schedule 1'!$E$104,0)</f>
        <v>0</v>
      </c>
      <c r="K57" s="68">
        <f t="shared" si="1"/>
        <v>0</v>
      </c>
      <c r="L57" s="310">
        <f t="shared" si="2"/>
        <v>0</v>
      </c>
      <c r="N57" s="117">
        <f>'As-Filed Schedule 2G'!J57</f>
        <v>0</v>
      </c>
      <c r="O57" s="313">
        <f>SUMIFS(Adjustments!$G:$G,Adjustments!$H:$H,"2G",Adjustments!$I:$I,'Schedule 2G Adjustments'!$N$12,Adjustments!$J:$J,'Schedule 2G Adjustments'!$A57)</f>
        <v>0</v>
      </c>
      <c r="P57" s="309">
        <f t="shared" si="3"/>
        <v>0</v>
      </c>
      <c r="Q57" s="68">
        <f>IFERROR(N57*'As-Filed Schedule 1'!$E$103,0)</f>
        <v>0</v>
      </c>
      <c r="R57" s="68">
        <f>IFERROR(P57*'Adjusted Schedule 1'!$E$104,0)</f>
        <v>0</v>
      </c>
      <c r="S57" s="68">
        <f t="shared" si="4"/>
        <v>0</v>
      </c>
      <c r="T57" s="310">
        <f t="shared" si="5"/>
        <v>0</v>
      </c>
      <c r="V57" s="120">
        <f>'As-Filed Schedule 2G'!N57</f>
        <v>0</v>
      </c>
      <c r="W57" s="313">
        <f>SUMIFS(Adjustments!$G:$G,Adjustments!$H:$H,"2G",Adjustments!$I:$I,'Schedule 2G Adjustments'!$V$12,Adjustments!$J:$J,'Schedule 2G Adjustments'!$A57)</f>
        <v>0</v>
      </c>
      <c r="X57" s="309">
        <f t="shared" si="6"/>
        <v>0</v>
      </c>
      <c r="Y57" s="120">
        <f>'As-Filed Schedule 2G'!O57</f>
        <v>0</v>
      </c>
      <c r="Z57" s="313">
        <f>SUMIFS(Adjustments!$G:$G,Adjustments!$H:$H,"2G",Adjustments!$I:$I,'Schedule 2G Adjustments'!$Y$12,Adjustments!$J:$J,'Schedule 2G Adjustments'!$A57)</f>
        <v>0</v>
      </c>
      <c r="AA57" s="309">
        <f t="shared" si="7"/>
        <v>0</v>
      </c>
    </row>
    <row r="58" spans="1:27" x14ac:dyDescent="0.35">
      <c r="A58" s="24">
        <v>44</v>
      </c>
      <c r="B58" s="507" t="str">
        <f>IF('As-Filed Schedule 2G'!B58:D58=0,"",'As-Filed Schedule 2G'!B58:D58)</f>
        <v/>
      </c>
      <c r="C58" s="507"/>
      <c r="D58" s="507"/>
      <c r="F58" s="117">
        <f>'As-Filed Schedule 2G'!F58</f>
        <v>0</v>
      </c>
      <c r="G58" s="313">
        <f>SUMIFS(Adjustments!$G:$G,Adjustments!$H:$H,"2G",Adjustments!$I:$I,'Schedule 2G Adjustments'!$F$12,Adjustments!$J:$J,'Schedule 2G Adjustments'!$A58)</f>
        <v>0</v>
      </c>
      <c r="H58" s="309">
        <f t="shared" si="0"/>
        <v>0</v>
      </c>
      <c r="I58" s="68">
        <f>IFERROR(F58*'As-Filed Schedule 1'!$E$103,0)</f>
        <v>0</v>
      </c>
      <c r="J58" s="310">
        <f>IFERROR(H58*'Adjusted Schedule 1'!$E$104,0)</f>
        <v>0</v>
      </c>
      <c r="K58" s="68">
        <f t="shared" si="1"/>
        <v>0</v>
      </c>
      <c r="L58" s="310">
        <f t="shared" si="2"/>
        <v>0</v>
      </c>
      <c r="N58" s="117">
        <f>'As-Filed Schedule 2G'!J58</f>
        <v>0</v>
      </c>
      <c r="O58" s="313">
        <f>SUMIFS(Adjustments!$G:$G,Adjustments!$H:$H,"2G",Adjustments!$I:$I,'Schedule 2G Adjustments'!$N$12,Adjustments!$J:$J,'Schedule 2G Adjustments'!$A58)</f>
        <v>0</v>
      </c>
      <c r="P58" s="309">
        <f t="shared" si="3"/>
        <v>0</v>
      </c>
      <c r="Q58" s="68">
        <f>IFERROR(N58*'As-Filed Schedule 1'!$E$103,0)</f>
        <v>0</v>
      </c>
      <c r="R58" s="68">
        <f>IFERROR(P58*'Adjusted Schedule 1'!$E$104,0)</f>
        <v>0</v>
      </c>
      <c r="S58" s="68">
        <f t="shared" si="4"/>
        <v>0</v>
      </c>
      <c r="T58" s="310">
        <f t="shared" si="5"/>
        <v>0</v>
      </c>
      <c r="V58" s="120">
        <f>'As-Filed Schedule 2G'!N58</f>
        <v>0</v>
      </c>
      <c r="W58" s="313">
        <f>SUMIFS(Adjustments!$G:$G,Adjustments!$H:$H,"2G",Adjustments!$I:$I,'Schedule 2G Adjustments'!$V$12,Adjustments!$J:$J,'Schedule 2G Adjustments'!$A58)</f>
        <v>0</v>
      </c>
      <c r="X58" s="309">
        <f t="shared" si="6"/>
        <v>0</v>
      </c>
      <c r="Y58" s="120">
        <f>'As-Filed Schedule 2G'!O58</f>
        <v>0</v>
      </c>
      <c r="Z58" s="313">
        <f>SUMIFS(Adjustments!$G:$G,Adjustments!$H:$H,"2G",Adjustments!$I:$I,'Schedule 2G Adjustments'!$Y$12,Adjustments!$J:$J,'Schedule 2G Adjustments'!$A58)</f>
        <v>0</v>
      </c>
      <c r="AA58" s="309">
        <f t="shared" si="7"/>
        <v>0</v>
      </c>
    </row>
    <row r="59" spans="1:27" x14ac:dyDescent="0.35">
      <c r="A59" s="24">
        <v>45</v>
      </c>
      <c r="B59" s="507" t="str">
        <f>IF('As-Filed Schedule 2G'!B59:D59=0,"",'As-Filed Schedule 2G'!B59:D59)</f>
        <v/>
      </c>
      <c r="C59" s="507"/>
      <c r="D59" s="507"/>
      <c r="F59" s="117">
        <f>'As-Filed Schedule 2G'!F59</f>
        <v>0</v>
      </c>
      <c r="G59" s="313">
        <f>SUMIFS(Adjustments!$G:$G,Adjustments!$H:$H,"2G",Adjustments!$I:$I,'Schedule 2G Adjustments'!$F$12,Adjustments!$J:$J,'Schedule 2G Adjustments'!$A59)</f>
        <v>0</v>
      </c>
      <c r="H59" s="309">
        <f t="shared" si="0"/>
        <v>0</v>
      </c>
      <c r="I59" s="68">
        <f>IFERROR(F59*'As-Filed Schedule 1'!$E$103,0)</f>
        <v>0</v>
      </c>
      <c r="J59" s="310">
        <f>IFERROR(H59*'Adjusted Schedule 1'!$E$104,0)</f>
        <v>0</v>
      </c>
      <c r="K59" s="68">
        <f t="shared" si="1"/>
        <v>0</v>
      </c>
      <c r="L59" s="310">
        <f t="shared" si="2"/>
        <v>0</v>
      </c>
      <c r="N59" s="117">
        <f>'As-Filed Schedule 2G'!J59</f>
        <v>0</v>
      </c>
      <c r="O59" s="313">
        <f>SUMIFS(Adjustments!$G:$G,Adjustments!$H:$H,"2G",Adjustments!$I:$I,'Schedule 2G Adjustments'!$N$12,Adjustments!$J:$J,'Schedule 2G Adjustments'!$A59)</f>
        <v>0</v>
      </c>
      <c r="P59" s="309">
        <f t="shared" si="3"/>
        <v>0</v>
      </c>
      <c r="Q59" s="68">
        <f>IFERROR(N59*'As-Filed Schedule 1'!$E$103,0)</f>
        <v>0</v>
      </c>
      <c r="R59" s="68">
        <f>IFERROR(P59*'Adjusted Schedule 1'!$E$104,0)</f>
        <v>0</v>
      </c>
      <c r="S59" s="68">
        <f t="shared" si="4"/>
        <v>0</v>
      </c>
      <c r="T59" s="310">
        <f t="shared" si="5"/>
        <v>0</v>
      </c>
      <c r="V59" s="120">
        <f>'As-Filed Schedule 2G'!N59</f>
        <v>0</v>
      </c>
      <c r="W59" s="313">
        <f>SUMIFS(Adjustments!$G:$G,Adjustments!$H:$H,"2G",Adjustments!$I:$I,'Schedule 2G Adjustments'!$V$12,Adjustments!$J:$J,'Schedule 2G Adjustments'!$A59)</f>
        <v>0</v>
      </c>
      <c r="X59" s="309">
        <f t="shared" si="6"/>
        <v>0</v>
      </c>
      <c r="Y59" s="120">
        <f>'As-Filed Schedule 2G'!O59</f>
        <v>0</v>
      </c>
      <c r="Z59" s="313">
        <f>SUMIFS(Adjustments!$G:$G,Adjustments!$H:$H,"2G",Adjustments!$I:$I,'Schedule 2G Adjustments'!$Y$12,Adjustments!$J:$J,'Schedule 2G Adjustments'!$A59)</f>
        <v>0</v>
      </c>
      <c r="AA59" s="309">
        <f t="shared" si="7"/>
        <v>0</v>
      </c>
    </row>
    <row r="60" spans="1:27" x14ac:dyDescent="0.35">
      <c r="A60" s="24">
        <v>46</v>
      </c>
      <c r="B60" s="507" t="str">
        <f>IF('As-Filed Schedule 2G'!B60:D60=0,"",'As-Filed Schedule 2G'!B60:D60)</f>
        <v/>
      </c>
      <c r="C60" s="507"/>
      <c r="D60" s="507"/>
      <c r="F60" s="117">
        <f>'As-Filed Schedule 2G'!F60</f>
        <v>0</v>
      </c>
      <c r="G60" s="313">
        <f>SUMIFS(Adjustments!$G:$G,Adjustments!$H:$H,"2G",Adjustments!$I:$I,'Schedule 2G Adjustments'!$F$12,Adjustments!$J:$J,'Schedule 2G Adjustments'!$A60)</f>
        <v>0</v>
      </c>
      <c r="H60" s="309">
        <f t="shared" si="0"/>
        <v>0</v>
      </c>
      <c r="I60" s="68">
        <f>IFERROR(F60*'As-Filed Schedule 1'!$E$103,0)</f>
        <v>0</v>
      </c>
      <c r="J60" s="310">
        <f>IFERROR(H60*'Adjusted Schedule 1'!$E$104,0)</f>
        <v>0</v>
      </c>
      <c r="K60" s="68">
        <f t="shared" si="1"/>
        <v>0</v>
      </c>
      <c r="L60" s="310">
        <f t="shared" si="2"/>
        <v>0</v>
      </c>
      <c r="N60" s="117">
        <f>'As-Filed Schedule 2G'!J60</f>
        <v>0</v>
      </c>
      <c r="O60" s="313">
        <f>SUMIFS(Adjustments!$G:$G,Adjustments!$H:$H,"2G",Adjustments!$I:$I,'Schedule 2G Adjustments'!$N$12,Adjustments!$J:$J,'Schedule 2G Adjustments'!$A60)</f>
        <v>0</v>
      </c>
      <c r="P60" s="309">
        <f t="shared" si="3"/>
        <v>0</v>
      </c>
      <c r="Q60" s="68">
        <f>IFERROR(N60*'As-Filed Schedule 1'!$E$103,0)</f>
        <v>0</v>
      </c>
      <c r="R60" s="68">
        <f>IFERROR(P60*'Adjusted Schedule 1'!$E$104,0)</f>
        <v>0</v>
      </c>
      <c r="S60" s="68">
        <f t="shared" si="4"/>
        <v>0</v>
      </c>
      <c r="T60" s="310">
        <f t="shared" si="5"/>
        <v>0</v>
      </c>
      <c r="V60" s="120">
        <f>'As-Filed Schedule 2G'!N60</f>
        <v>0</v>
      </c>
      <c r="W60" s="313">
        <f>SUMIFS(Adjustments!$G:$G,Adjustments!$H:$H,"2G",Adjustments!$I:$I,'Schedule 2G Adjustments'!$V$12,Adjustments!$J:$J,'Schedule 2G Adjustments'!$A60)</f>
        <v>0</v>
      </c>
      <c r="X60" s="309">
        <f t="shared" si="6"/>
        <v>0</v>
      </c>
      <c r="Y60" s="120">
        <f>'As-Filed Schedule 2G'!O60</f>
        <v>0</v>
      </c>
      <c r="Z60" s="313">
        <f>SUMIFS(Adjustments!$G:$G,Adjustments!$H:$H,"2G",Adjustments!$I:$I,'Schedule 2G Adjustments'!$Y$12,Adjustments!$J:$J,'Schedule 2G Adjustments'!$A60)</f>
        <v>0</v>
      </c>
      <c r="AA60" s="309">
        <f t="shared" si="7"/>
        <v>0</v>
      </c>
    </row>
    <row r="61" spans="1:27" x14ac:dyDescent="0.35">
      <c r="A61" s="24">
        <v>47</v>
      </c>
      <c r="B61" s="507" t="str">
        <f>IF('As-Filed Schedule 2G'!B61:D61=0,"",'As-Filed Schedule 2G'!B61:D61)</f>
        <v/>
      </c>
      <c r="C61" s="507"/>
      <c r="D61" s="507"/>
      <c r="F61" s="117">
        <f>'As-Filed Schedule 2G'!F61</f>
        <v>0</v>
      </c>
      <c r="G61" s="313">
        <f>SUMIFS(Adjustments!$G:$G,Adjustments!$H:$H,"2G",Adjustments!$I:$I,'Schedule 2G Adjustments'!$F$12,Adjustments!$J:$J,'Schedule 2G Adjustments'!$A61)</f>
        <v>0</v>
      </c>
      <c r="H61" s="309">
        <f t="shared" si="0"/>
        <v>0</v>
      </c>
      <c r="I61" s="68">
        <f>IFERROR(F61*'As-Filed Schedule 1'!$E$103,0)</f>
        <v>0</v>
      </c>
      <c r="J61" s="310">
        <f>IFERROR(H61*'Adjusted Schedule 1'!$E$104,0)</f>
        <v>0</v>
      </c>
      <c r="K61" s="68">
        <f t="shared" si="1"/>
        <v>0</v>
      </c>
      <c r="L61" s="310">
        <f t="shared" si="2"/>
        <v>0</v>
      </c>
      <c r="N61" s="117">
        <f>'As-Filed Schedule 2G'!J61</f>
        <v>0</v>
      </c>
      <c r="O61" s="313">
        <f>SUMIFS(Adjustments!$G:$G,Adjustments!$H:$H,"2G",Adjustments!$I:$I,'Schedule 2G Adjustments'!$N$12,Adjustments!$J:$J,'Schedule 2G Adjustments'!$A61)</f>
        <v>0</v>
      </c>
      <c r="P61" s="309">
        <f t="shared" si="3"/>
        <v>0</v>
      </c>
      <c r="Q61" s="68">
        <f>IFERROR(N61*'As-Filed Schedule 1'!$E$103,0)</f>
        <v>0</v>
      </c>
      <c r="R61" s="68">
        <f>IFERROR(P61*'Adjusted Schedule 1'!$E$104,0)</f>
        <v>0</v>
      </c>
      <c r="S61" s="68">
        <f t="shared" si="4"/>
        <v>0</v>
      </c>
      <c r="T61" s="310">
        <f t="shared" si="5"/>
        <v>0</v>
      </c>
      <c r="V61" s="120">
        <f>'As-Filed Schedule 2G'!N61</f>
        <v>0</v>
      </c>
      <c r="W61" s="313">
        <f>SUMIFS(Adjustments!$G:$G,Adjustments!$H:$H,"2G",Adjustments!$I:$I,'Schedule 2G Adjustments'!$V$12,Adjustments!$J:$J,'Schedule 2G Adjustments'!$A61)</f>
        <v>0</v>
      </c>
      <c r="X61" s="309">
        <f t="shared" si="6"/>
        <v>0</v>
      </c>
      <c r="Y61" s="120">
        <f>'As-Filed Schedule 2G'!O61</f>
        <v>0</v>
      </c>
      <c r="Z61" s="313">
        <f>SUMIFS(Adjustments!$G:$G,Adjustments!$H:$H,"2G",Adjustments!$I:$I,'Schedule 2G Adjustments'!$Y$12,Adjustments!$J:$J,'Schedule 2G Adjustments'!$A61)</f>
        <v>0</v>
      </c>
      <c r="AA61" s="309">
        <f t="shared" si="7"/>
        <v>0</v>
      </c>
    </row>
    <row r="62" spans="1:27" x14ac:dyDescent="0.35">
      <c r="A62" s="24">
        <v>48</v>
      </c>
      <c r="B62" s="507" t="str">
        <f>IF('As-Filed Schedule 2G'!B62:D62=0,"",'As-Filed Schedule 2G'!B62:D62)</f>
        <v/>
      </c>
      <c r="C62" s="507"/>
      <c r="D62" s="507"/>
      <c r="F62" s="117">
        <f>'As-Filed Schedule 2G'!F62</f>
        <v>0</v>
      </c>
      <c r="G62" s="313">
        <f>SUMIFS(Adjustments!$G:$G,Adjustments!$H:$H,"2G",Adjustments!$I:$I,'Schedule 2G Adjustments'!$F$12,Adjustments!$J:$J,'Schedule 2G Adjustments'!$A62)</f>
        <v>0</v>
      </c>
      <c r="H62" s="309">
        <f t="shared" si="0"/>
        <v>0</v>
      </c>
      <c r="I62" s="68">
        <f>IFERROR(F62*'As-Filed Schedule 1'!$E$103,0)</f>
        <v>0</v>
      </c>
      <c r="J62" s="310">
        <f>IFERROR(H62*'Adjusted Schedule 1'!$E$104,0)</f>
        <v>0</v>
      </c>
      <c r="K62" s="68">
        <f t="shared" si="1"/>
        <v>0</v>
      </c>
      <c r="L62" s="310">
        <f t="shared" si="2"/>
        <v>0</v>
      </c>
      <c r="N62" s="117">
        <f>'As-Filed Schedule 2G'!J62</f>
        <v>0</v>
      </c>
      <c r="O62" s="313">
        <f>SUMIFS(Adjustments!$G:$G,Adjustments!$H:$H,"2G",Adjustments!$I:$I,'Schedule 2G Adjustments'!$N$12,Adjustments!$J:$J,'Schedule 2G Adjustments'!$A62)</f>
        <v>0</v>
      </c>
      <c r="P62" s="309">
        <f t="shared" si="3"/>
        <v>0</v>
      </c>
      <c r="Q62" s="68">
        <f>IFERROR(N62*'As-Filed Schedule 1'!$E$103,0)</f>
        <v>0</v>
      </c>
      <c r="R62" s="68">
        <f>IFERROR(P62*'Adjusted Schedule 1'!$E$104,0)</f>
        <v>0</v>
      </c>
      <c r="S62" s="68">
        <f t="shared" si="4"/>
        <v>0</v>
      </c>
      <c r="T62" s="310">
        <f t="shared" si="5"/>
        <v>0</v>
      </c>
      <c r="V62" s="120">
        <f>'As-Filed Schedule 2G'!N62</f>
        <v>0</v>
      </c>
      <c r="W62" s="313">
        <f>SUMIFS(Adjustments!$G:$G,Adjustments!$H:$H,"2G",Adjustments!$I:$I,'Schedule 2G Adjustments'!$V$12,Adjustments!$J:$J,'Schedule 2G Adjustments'!$A62)</f>
        <v>0</v>
      </c>
      <c r="X62" s="309">
        <f t="shared" si="6"/>
        <v>0</v>
      </c>
      <c r="Y62" s="120">
        <f>'As-Filed Schedule 2G'!O62</f>
        <v>0</v>
      </c>
      <c r="Z62" s="313">
        <f>SUMIFS(Adjustments!$G:$G,Adjustments!$H:$H,"2G",Adjustments!$I:$I,'Schedule 2G Adjustments'!$Y$12,Adjustments!$J:$J,'Schedule 2G Adjustments'!$A62)</f>
        <v>0</v>
      </c>
      <c r="AA62" s="309">
        <f t="shared" si="7"/>
        <v>0</v>
      </c>
    </row>
    <row r="63" spans="1:27" x14ac:dyDescent="0.35">
      <c r="A63" s="24">
        <v>49</v>
      </c>
      <c r="B63" s="507" t="str">
        <f>IF('As-Filed Schedule 2G'!B63:D63=0,"",'As-Filed Schedule 2G'!B63:D63)</f>
        <v/>
      </c>
      <c r="C63" s="507"/>
      <c r="D63" s="507"/>
      <c r="F63" s="117">
        <f>'As-Filed Schedule 2G'!F63</f>
        <v>0</v>
      </c>
      <c r="G63" s="313">
        <f>SUMIFS(Adjustments!$G:$G,Adjustments!$H:$H,"2G",Adjustments!$I:$I,'Schedule 2G Adjustments'!$F$12,Adjustments!$J:$J,'Schedule 2G Adjustments'!$A63)</f>
        <v>0</v>
      </c>
      <c r="H63" s="309">
        <f t="shared" si="0"/>
        <v>0</v>
      </c>
      <c r="I63" s="68">
        <f>IFERROR(F63*'As-Filed Schedule 1'!$E$103,0)</f>
        <v>0</v>
      </c>
      <c r="J63" s="310">
        <f>IFERROR(H63*'Adjusted Schedule 1'!$E$104,0)</f>
        <v>0</v>
      </c>
      <c r="K63" s="68">
        <f t="shared" si="1"/>
        <v>0</v>
      </c>
      <c r="L63" s="310">
        <f t="shared" si="2"/>
        <v>0</v>
      </c>
      <c r="N63" s="117">
        <f>'As-Filed Schedule 2G'!J63</f>
        <v>0</v>
      </c>
      <c r="O63" s="313">
        <f>SUMIFS(Adjustments!$G:$G,Adjustments!$H:$H,"2G",Adjustments!$I:$I,'Schedule 2G Adjustments'!$N$12,Adjustments!$J:$J,'Schedule 2G Adjustments'!$A63)</f>
        <v>0</v>
      </c>
      <c r="P63" s="309">
        <f t="shared" si="3"/>
        <v>0</v>
      </c>
      <c r="Q63" s="68">
        <f>IFERROR(N63*'As-Filed Schedule 1'!$E$103,0)</f>
        <v>0</v>
      </c>
      <c r="R63" s="68">
        <f>IFERROR(P63*'Adjusted Schedule 1'!$E$104,0)</f>
        <v>0</v>
      </c>
      <c r="S63" s="68">
        <f t="shared" si="4"/>
        <v>0</v>
      </c>
      <c r="T63" s="310">
        <f t="shared" si="5"/>
        <v>0</v>
      </c>
      <c r="V63" s="120">
        <f>'As-Filed Schedule 2G'!N63</f>
        <v>0</v>
      </c>
      <c r="W63" s="313">
        <f>SUMIFS(Adjustments!$G:$G,Adjustments!$H:$H,"2G",Adjustments!$I:$I,'Schedule 2G Adjustments'!$V$12,Adjustments!$J:$J,'Schedule 2G Adjustments'!$A63)</f>
        <v>0</v>
      </c>
      <c r="X63" s="309">
        <f t="shared" si="6"/>
        <v>0</v>
      </c>
      <c r="Y63" s="120">
        <f>'As-Filed Schedule 2G'!O63</f>
        <v>0</v>
      </c>
      <c r="Z63" s="313">
        <f>SUMIFS(Adjustments!$G:$G,Adjustments!$H:$H,"2G",Adjustments!$I:$I,'Schedule 2G Adjustments'!$Y$12,Adjustments!$J:$J,'Schedule 2G Adjustments'!$A63)</f>
        <v>0</v>
      </c>
      <c r="AA63" s="309">
        <f t="shared" si="7"/>
        <v>0</v>
      </c>
    </row>
    <row r="64" spans="1:27" x14ac:dyDescent="0.35">
      <c r="A64" s="24">
        <v>50</v>
      </c>
      <c r="B64" s="507" t="str">
        <f>IF('As-Filed Schedule 2G'!B64:D64=0,"",'As-Filed Schedule 2G'!B64:D64)</f>
        <v/>
      </c>
      <c r="C64" s="507"/>
      <c r="D64" s="507"/>
      <c r="F64" s="117">
        <f>'As-Filed Schedule 2G'!F64</f>
        <v>0</v>
      </c>
      <c r="G64" s="313">
        <f>SUMIFS(Adjustments!$G:$G,Adjustments!$H:$H,"2G",Adjustments!$I:$I,'Schedule 2G Adjustments'!$F$12,Adjustments!$J:$J,'Schedule 2G Adjustments'!$A64)</f>
        <v>0</v>
      </c>
      <c r="H64" s="309">
        <f t="shared" si="0"/>
        <v>0</v>
      </c>
      <c r="I64" s="68">
        <f>IFERROR(F64*'As-Filed Schedule 1'!$E$103,0)</f>
        <v>0</v>
      </c>
      <c r="J64" s="310">
        <f>IFERROR(H64*'Adjusted Schedule 1'!$E$104,0)</f>
        <v>0</v>
      </c>
      <c r="K64" s="68">
        <f t="shared" si="1"/>
        <v>0</v>
      </c>
      <c r="L64" s="310">
        <f t="shared" si="2"/>
        <v>0</v>
      </c>
      <c r="N64" s="117">
        <f>'As-Filed Schedule 2G'!J64</f>
        <v>0</v>
      </c>
      <c r="O64" s="313">
        <f>SUMIFS(Adjustments!$G:$G,Adjustments!$H:$H,"2G",Adjustments!$I:$I,'Schedule 2G Adjustments'!$N$12,Adjustments!$J:$J,'Schedule 2G Adjustments'!$A64)</f>
        <v>0</v>
      </c>
      <c r="P64" s="309">
        <f t="shared" si="3"/>
        <v>0</v>
      </c>
      <c r="Q64" s="68">
        <f>IFERROR(N64*'As-Filed Schedule 1'!$E$103,0)</f>
        <v>0</v>
      </c>
      <c r="R64" s="68">
        <f>IFERROR(P64*'Adjusted Schedule 1'!$E$104,0)</f>
        <v>0</v>
      </c>
      <c r="S64" s="68">
        <f t="shared" si="4"/>
        <v>0</v>
      </c>
      <c r="T64" s="310">
        <f t="shared" si="5"/>
        <v>0</v>
      </c>
      <c r="V64" s="120">
        <f>'As-Filed Schedule 2G'!N64</f>
        <v>0</v>
      </c>
      <c r="W64" s="313">
        <f>SUMIFS(Adjustments!$G:$G,Adjustments!$H:$H,"2G",Adjustments!$I:$I,'Schedule 2G Adjustments'!$V$12,Adjustments!$J:$J,'Schedule 2G Adjustments'!$A64)</f>
        <v>0</v>
      </c>
      <c r="X64" s="309">
        <f t="shared" si="6"/>
        <v>0</v>
      </c>
      <c r="Y64" s="120">
        <f>'As-Filed Schedule 2G'!O64</f>
        <v>0</v>
      </c>
      <c r="Z64" s="313">
        <f>SUMIFS(Adjustments!$G:$G,Adjustments!$H:$H,"2G",Adjustments!$I:$I,'Schedule 2G Adjustments'!$Y$12,Adjustments!$J:$J,'Schedule 2G Adjustments'!$A64)</f>
        <v>0</v>
      </c>
      <c r="AA64" s="309">
        <f t="shared" si="7"/>
        <v>0</v>
      </c>
    </row>
    <row r="65" spans="1:27" x14ac:dyDescent="0.35">
      <c r="A65" s="24">
        <v>51</v>
      </c>
      <c r="B65" s="507" t="str">
        <f>IF('As-Filed Schedule 2G'!B65:D65=0,"",'As-Filed Schedule 2G'!B65:D65)</f>
        <v/>
      </c>
      <c r="C65" s="507"/>
      <c r="D65" s="507"/>
      <c r="F65" s="117">
        <f>'As-Filed Schedule 2G'!F65</f>
        <v>0</v>
      </c>
      <c r="G65" s="313">
        <f>SUMIFS(Adjustments!$G:$G,Adjustments!$H:$H,"2G",Adjustments!$I:$I,'Schedule 2G Adjustments'!$F$12,Adjustments!$J:$J,'Schedule 2G Adjustments'!$A65)</f>
        <v>0</v>
      </c>
      <c r="H65" s="309">
        <f t="shared" si="0"/>
        <v>0</v>
      </c>
      <c r="I65" s="68">
        <f>IFERROR(F65*'As-Filed Schedule 1'!$E$103,0)</f>
        <v>0</v>
      </c>
      <c r="J65" s="310">
        <f>IFERROR(H65*'Adjusted Schedule 1'!$E$104,0)</f>
        <v>0</v>
      </c>
      <c r="K65" s="68">
        <f t="shared" si="1"/>
        <v>0</v>
      </c>
      <c r="L65" s="310">
        <f t="shared" si="2"/>
        <v>0</v>
      </c>
      <c r="N65" s="117">
        <f>'As-Filed Schedule 2G'!J65</f>
        <v>0</v>
      </c>
      <c r="O65" s="313">
        <f>SUMIFS(Adjustments!$G:$G,Adjustments!$H:$H,"2G",Adjustments!$I:$I,'Schedule 2G Adjustments'!$N$12,Adjustments!$J:$J,'Schedule 2G Adjustments'!$A65)</f>
        <v>0</v>
      </c>
      <c r="P65" s="309">
        <f t="shared" si="3"/>
        <v>0</v>
      </c>
      <c r="Q65" s="68">
        <f>IFERROR(N65*'As-Filed Schedule 1'!$E$103,0)</f>
        <v>0</v>
      </c>
      <c r="R65" s="68">
        <f>IFERROR(P65*'Adjusted Schedule 1'!$E$104,0)</f>
        <v>0</v>
      </c>
      <c r="S65" s="68">
        <f t="shared" si="4"/>
        <v>0</v>
      </c>
      <c r="T65" s="310">
        <f t="shared" si="5"/>
        <v>0</v>
      </c>
      <c r="V65" s="120">
        <f>'As-Filed Schedule 2G'!N65</f>
        <v>0</v>
      </c>
      <c r="W65" s="313">
        <f>SUMIFS(Adjustments!$G:$G,Adjustments!$H:$H,"2G",Adjustments!$I:$I,'Schedule 2G Adjustments'!$V$12,Adjustments!$J:$J,'Schedule 2G Adjustments'!$A65)</f>
        <v>0</v>
      </c>
      <c r="X65" s="309">
        <f t="shared" si="6"/>
        <v>0</v>
      </c>
      <c r="Y65" s="120">
        <f>'As-Filed Schedule 2G'!O65</f>
        <v>0</v>
      </c>
      <c r="Z65" s="313">
        <f>SUMIFS(Adjustments!$G:$G,Adjustments!$H:$H,"2G",Adjustments!$I:$I,'Schedule 2G Adjustments'!$Y$12,Adjustments!$J:$J,'Schedule 2G Adjustments'!$A65)</f>
        <v>0</v>
      </c>
      <c r="AA65" s="309">
        <f t="shared" si="7"/>
        <v>0</v>
      </c>
    </row>
    <row r="66" spans="1:27" x14ac:dyDescent="0.35">
      <c r="A66" s="24">
        <v>52</v>
      </c>
      <c r="B66" s="507" t="str">
        <f>IF('As-Filed Schedule 2G'!B66:D66=0,"",'As-Filed Schedule 2G'!B66:D66)</f>
        <v/>
      </c>
      <c r="C66" s="507"/>
      <c r="D66" s="507"/>
      <c r="F66" s="117">
        <f>'As-Filed Schedule 2G'!F66</f>
        <v>0</v>
      </c>
      <c r="G66" s="313">
        <f>SUMIFS(Adjustments!$G:$G,Adjustments!$H:$H,"2G",Adjustments!$I:$I,'Schedule 2G Adjustments'!$F$12,Adjustments!$J:$J,'Schedule 2G Adjustments'!$A66)</f>
        <v>0</v>
      </c>
      <c r="H66" s="309">
        <f t="shared" si="0"/>
        <v>0</v>
      </c>
      <c r="I66" s="68">
        <f>IFERROR(F66*'As-Filed Schedule 1'!$E$103,0)</f>
        <v>0</v>
      </c>
      <c r="J66" s="310">
        <f>IFERROR(H66*'Adjusted Schedule 1'!$E$104,0)</f>
        <v>0</v>
      </c>
      <c r="K66" s="68">
        <f t="shared" si="1"/>
        <v>0</v>
      </c>
      <c r="L66" s="310">
        <f t="shared" si="2"/>
        <v>0</v>
      </c>
      <c r="N66" s="117">
        <f>'As-Filed Schedule 2G'!J66</f>
        <v>0</v>
      </c>
      <c r="O66" s="313">
        <f>SUMIFS(Adjustments!$G:$G,Adjustments!$H:$H,"2G",Adjustments!$I:$I,'Schedule 2G Adjustments'!$N$12,Adjustments!$J:$J,'Schedule 2G Adjustments'!$A66)</f>
        <v>0</v>
      </c>
      <c r="P66" s="309">
        <f t="shared" si="3"/>
        <v>0</v>
      </c>
      <c r="Q66" s="68">
        <f>IFERROR(N66*'As-Filed Schedule 1'!$E$103,0)</f>
        <v>0</v>
      </c>
      <c r="R66" s="68">
        <f>IFERROR(P66*'Adjusted Schedule 1'!$E$104,0)</f>
        <v>0</v>
      </c>
      <c r="S66" s="68">
        <f t="shared" si="4"/>
        <v>0</v>
      </c>
      <c r="T66" s="310">
        <f t="shared" si="5"/>
        <v>0</v>
      </c>
      <c r="V66" s="120">
        <f>'As-Filed Schedule 2G'!N66</f>
        <v>0</v>
      </c>
      <c r="W66" s="313">
        <f>SUMIFS(Adjustments!$G:$G,Adjustments!$H:$H,"2G",Adjustments!$I:$I,'Schedule 2G Adjustments'!$V$12,Adjustments!$J:$J,'Schedule 2G Adjustments'!$A66)</f>
        <v>0</v>
      </c>
      <c r="X66" s="309">
        <f t="shared" si="6"/>
        <v>0</v>
      </c>
      <c r="Y66" s="120">
        <f>'As-Filed Schedule 2G'!O66</f>
        <v>0</v>
      </c>
      <c r="Z66" s="313">
        <f>SUMIFS(Adjustments!$G:$G,Adjustments!$H:$H,"2G",Adjustments!$I:$I,'Schedule 2G Adjustments'!$Y$12,Adjustments!$J:$J,'Schedule 2G Adjustments'!$A66)</f>
        <v>0</v>
      </c>
      <c r="AA66" s="309">
        <f t="shared" si="7"/>
        <v>0</v>
      </c>
    </row>
    <row r="67" spans="1:27" x14ac:dyDescent="0.35">
      <c r="A67" s="24">
        <v>53</v>
      </c>
      <c r="B67" s="507" t="str">
        <f>IF('As-Filed Schedule 2G'!B67:D67=0,"",'As-Filed Schedule 2G'!B67:D67)</f>
        <v/>
      </c>
      <c r="C67" s="507"/>
      <c r="D67" s="507"/>
      <c r="F67" s="117">
        <f>'As-Filed Schedule 2G'!F67</f>
        <v>0</v>
      </c>
      <c r="G67" s="313">
        <f>SUMIFS(Adjustments!$G:$G,Adjustments!$H:$H,"2G",Adjustments!$I:$I,'Schedule 2G Adjustments'!$F$12,Adjustments!$J:$J,'Schedule 2G Adjustments'!$A67)</f>
        <v>0</v>
      </c>
      <c r="H67" s="309">
        <f t="shared" si="0"/>
        <v>0</v>
      </c>
      <c r="I67" s="68">
        <f>IFERROR(F67*'As-Filed Schedule 1'!$E$103,0)</f>
        <v>0</v>
      </c>
      <c r="J67" s="310">
        <f>IFERROR(H67*'Adjusted Schedule 1'!$E$104,0)</f>
        <v>0</v>
      </c>
      <c r="K67" s="68">
        <f t="shared" si="1"/>
        <v>0</v>
      </c>
      <c r="L67" s="310">
        <f t="shared" si="2"/>
        <v>0</v>
      </c>
      <c r="N67" s="117">
        <f>'As-Filed Schedule 2G'!J67</f>
        <v>0</v>
      </c>
      <c r="O67" s="313">
        <f>SUMIFS(Adjustments!$G:$G,Adjustments!$H:$H,"2G",Adjustments!$I:$I,'Schedule 2G Adjustments'!$N$12,Adjustments!$J:$J,'Schedule 2G Adjustments'!$A67)</f>
        <v>0</v>
      </c>
      <c r="P67" s="309">
        <f t="shared" si="3"/>
        <v>0</v>
      </c>
      <c r="Q67" s="68">
        <f>IFERROR(N67*'As-Filed Schedule 1'!$E$103,0)</f>
        <v>0</v>
      </c>
      <c r="R67" s="68">
        <f>IFERROR(P67*'Adjusted Schedule 1'!$E$104,0)</f>
        <v>0</v>
      </c>
      <c r="S67" s="68">
        <f t="shared" si="4"/>
        <v>0</v>
      </c>
      <c r="T67" s="310">
        <f t="shared" si="5"/>
        <v>0</v>
      </c>
      <c r="V67" s="120">
        <f>'As-Filed Schedule 2G'!N67</f>
        <v>0</v>
      </c>
      <c r="W67" s="313">
        <f>SUMIFS(Adjustments!$G:$G,Adjustments!$H:$H,"2G",Adjustments!$I:$I,'Schedule 2G Adjustments'!$V$12,Adjustments!$J:$J,'Schedule 2G Adjustments'!$A67)</f>
        <v>0</v>
      </c>
      <c r="X67" s="309">
        <f t="shared" si="6"/>
        <v>0</v>
      </c>
      <c r="Y67" s="120">
        <f>'As-Filed Schedule 2G'!O67</f>
        <v>0</v>
      </c>
      <c r="Z67" s="313">
        <f>SUMIFS(Adjustments!$G:$G,Adjustments!$H:$H,"2G",Adjustments!$I:$I,'Schedule 2G Adjustments'!$Y$12,Adjustments!$J:$J,'Schedule 2G Adjustments'!$A67)</f>
        <v>0</v>
      </c>
      <c r="AA67" s="309">
        <f t="shared" si="7"/>
        <v>0</v>
      </c>
    </row>
    <row r="68" spans="1:27" x14ac:dyDescent="0.35">
      <c r="A68" s="24">
        <v>54</v>
      </c>
      <c r="B68" s="507" t="str">
        <f>IF('As-Filed Schedule 2G'!B68:D68=0,"",'As-Filed Schedule 2G'!B68:D68)</f>
        <v/>
      </c>
      <c r="C68" s="507"/>
      <c r="D68" s="507"/>
      <c r="F68" s="117">
        <f>'As-Filed Schedule 2G'!F68</f>
        <v>0</v>
      </c>
      <c r="G68" s="313">
        <f>SUMIFS(Adjustments!$G:$G,Adjustments!$H:$H,"2G",Adjustments!$I:$I,'Schedule 2G Adjustments'!$F$12,Adjustments!$J:$J,'Schedule 2G Adjustments'!$A68)</f>
        <v>0</v>
      </c>
      <c r="H68" s="309">
        <f t="shared" si="0"/>
        <v>0</v>
      </c>
      <c r="I68" s="68">
        <f>IFERROR(F68*'As-Filed Schedule 1'!$E$103,0)</f>
        <v>0</v>
      </c>
      <c r="J68" s="310">
        <f>IFERROR(H68*'Adjusted Schedule 1'!$E$104,0)</f>
        <v>0</v>
      </c>
      <c r="K68" s="68">
        <f t="shared" si="1"/>
        <v>0</v>
      </c>
      <c r="L68" s="310">
        <f t="shared" si="2"/>
        <v>0</v>
      </c>
      <c r="N68" s="117">
        <f>'As-Filed Schedule 2G'!J68</f>
        <v>0</v>
      </c>
      <c r="O68" s="313">
        <f>SUMIFS(Adjustments!$G:$G,Adjustments!$H:$H,"2G",Adjustments!$I:$I,'Schedule 2G Adjustments'!$N$12,Adjustments!$J:$J,'Schedule 2G Adjustments'!$A68)</f>
        <v>0</v>
      </c>
      <c r="P68" s="309">
        <f t="shared" si="3"/>
        <v>0</v>
      </c>
      <c r="Q68" s="68">
        <f>IFERROR(N68*'As-Filed Schedule 1'!$E$103,0)</f>
        <v>0</v>
      </c>
      <c r="R68" s="68">
        <f>IFERROR(P68*'Adjusted Schedule 1'!$E$104,0)</f>
        <v>0</v>
      </c>
      <c r="S68" s="68">
        <f t="shared" si="4"/>
        <v>0</v>
      </c>
      <c r="T68" s="310">
        <f t="shared" si="5"/>
        <v>0</v>
      </c>
      <c r="V68" s="120">
        <f>'As-Filed Schedule 2G'!N68</f>
        <v>0</v>
      </c>
      <c r="W68" s="313">
        <f>SUMIFS(Adjustments!$G:$G,Adjustments!$H:$H,"2G",Adjustments!$I:$I,'Schedule 2G Adjustments'!$V$12,Adjustments!$J:$J,'Schedule 2G Adjustments'!$A68)</f>
        <v>0</v>
      </c>
      <c r="X68" s="309">
        <f t="shared" si="6"/>
        <v>0</v>
      </c>
      <c r="Y68" s="120">
        <f>'As-Filed Schedule 2G'!O68</f>
        <v>0</v>
      </c>
      <c r="Z68" s="313">
        <f>SUMIFS(Adjustments!$G:$G,Adjustments!$H:$H,"2G",Adjustments!$I:$I,'Schedule 2G Adjustments'!$Y$12,Adjustments!$J:$J,'Schedule 2G Adjustments'!$A68)</f>
        <v>0</v>
      </c>
      <c r="AA68" s="309">
        <f t="shared" si="7"/>
        <v>0</v>
      </c>
    </row>
    <row r="69" spans="1:27" x14ac:dyDescent="0.35">
      <c r="A69" s="24">
        <v>55</v>
      </c>
      <c r="B69" s="507" t="str">
        <f>IF('As-Filed Schedule 2G'!B69:D69=0,"",'As-Filed Schedule 2G'!B69:D69)</f>
        <v/>
      </c>
      <c r="C69" s="507"/>
      <c r="D69" s="507"/>
      <c r="F69" s="117">
        <f>'As-Filed Schedule 2G'!F69</f>
        <v>0</v>
      </c>
      <c r="G69" s="313">
        <f>SUMIFS(Adjustments!$G:$G,Adjustments!$H:$H,"2G",Adjustments!$I:$I,'Schedule 2G Adjustments'!$F$12,Adjustments!$J:$J,'Schedule 2G Adjustments'!$A69)</f>
        <v>0</v>
      </c>
      <c r="H69" s="309">
        <f t="shared" si="0"/>
        <v>0</v>
      </c>
      <c r="I69" s="68">
        <f>IFERROR(F69*'As-Filed Schedule 1'!$E$103,0)</f>
        <v>0</v>
      </c>
      <c r="J69" s="310">
        <f>IFERROR(H69*'Adjusted Schedule 1'!$E$104,0)</f>
        <v>0</v>
      </c>
      <c r="K69" s="68">
        <f t="shared" si="1"/>
        <v>0</v>
      </c>
      <c r="L69" s="310">
        <f t="shared" si="2"/>
        <v>0</v>
      </c>
      <c r="N69" s="117">
        <f>'As-Filed Schedule 2G'!J69</f>
        <v>0</v>
      </c>
      <c r="O69" s="313">
        <f>SUMIFS(Adjustments!$G:$G,Adjustments!$H:$H,"2G",Adjustments!$I:$I,'Schedule 2G Adjustments'!$N$12,Adjustments!$J:$J,'Schedule 2G Adjustments'!$A69)</f>
        <v>0</v>
      </c>
      <c r="P69" s="309">
        <f t="shared" si="3"/>
        <v>0</v>
      </c>
      <c r="Q69" s="68">
        <f>IFERROR(N69*'As-Filed Schedule 1'!$E$103,0)</f>
        <v>0</v>
      </c>
      <c r="R69" s="68">
        <f>IFERROR(P69*'Adjusted Schedule 1'!$E$104,0)</f>
        <v>0</v>
      </c>
      <c r="S69" s="68">
        <f t="shared" si="4"/>
        <v>0</v>
      </c>
      <c r="T69" s="310">
        <f t="shared" si="5"/>
        <v>0</v>
      </c>
      <c r="V69" s="120">
        <f>'As-Filed Schedule 2G'!N69</f>
        <v>0</v>
      </c>
      <c r="W69" s="313">
        <f>SUMIFS(Adjustments!$G:$G,Adjustments!$H:$H,"2G",Adjustments!$I:$I,'Schedule 2G Adjustments'!$V$12,Adjustments!$J:$J,'Schedule 2G Adjustments'!$A69)</f>
        <v>0</v>
      </c>
      <c r="X69" s="309">
        <f t="shared" si="6"/>
        <v>0</v>
      </c>
      <c r="Y69" s="120">
        <f>'As-Filed Schedule 2G'!O69</f>
        <v>0</v>
      </c>
      <c r="Z69" s="313">
        <f>SUMIFS(Adjustments!$G:$G,Adjustments!$H:$H,"2G",Adjustments!$I:$I,'Schedule 2G Adjustments'!$Y$12,Adjustments!$J:$J,'Schedule 2G Adjustments'!$A69)</f>
        <v>0</v>
      </c>
      <c r="AA69" s="309">
        <f t="shared" si="7"/>
        <v>0</v>
      </c>
    </row>
    <row r="70" spans="1:27" x14ac:dyDescent="0.35">
      <c r="A70" s="24">
        <v>56</v>
      </c>
      <c r="B70" s="507" t="str">
        <f>IF('As-Filed Schedule 2G'!B70:D70=0,"",'As-Filed Schedule 2G'!B70:D70)</f>
        <v/>
      </c>
      <c r="C70" s="507"/>
      <c r="D70" s="507"/>
      <c r="F70" s="117">
        <f>'As-Filed Schedule 2G'!F70</f>
        <v>0</v>
      </c>
      <c r="G70" s="313">
        <f>SUMIFS(Adjustments!$G:$G,Adjustments!$H:$H,"2G",Adjustments!$I:$I,'Schedule 2G Adjustments'!$F$12,Adjustments!$J:$J,'Schedule 2G Adjustments'!$A70)</f>
        <v>0</v>
      </c>
      <c r="H70" s="309">
        <f t="shared" si="0"/>
        <v>0</v>
      </c>
      <c r="I70" s="68">
        <f>IFERROR(F70*'As-Filed Schedule 1'!$E$103,0)</f>
        <v>0</v>
      </c>
      <c r="J70" s="310">
        <f>IFERROR(H70*'Adjusted Schedule 1'!$E$104,0)</f>
        <v>0</v>
      </c>
      <c r="K70" s="68">
        <f t="shared" si="1"/>
        <v>0</v>
      </c>
      <c r="L70" s="310">
        <f t="shared" si="2"/>
        <v>0</v>
      </c>
      <c r="N70" s="117">
        <f>'As-Filed Schedule 2G'!J70</f>
        <v>0</v>
      </c>
      <c r="O70" s="313">
        <f>SUMIFS(Adjustments!$G:$G,Adjustments!$H:$H,"2G",Adjustments!$I:$I,'Schedule 2G Adjustments'!$N$12,Adjustments!$J:$J,'Schedule 2G Adjustments'!$A70)</f>
        <v>0</v>
      </c>
      <c r="P70" s="309">
        <f t="shared" si="3"/>
        <v>0</v>
      </c>
      <c r="Q70" s="68">
        <f>IFERROR(N70*'As-Filed Schedule 1'!$E$103,0)</f>
        <v>0</v>
      </c>
      <c r="R70" s="68">
        <f>IFERROR(P70*'Adjusted Schedule 1'!$E$104,0)</f>
        <v>0</v>
      </c>
      <c r="S70" s="68">
        <f t="shared" si="4"/>
        <v>0</v>
      </c>
      <c r="T70" s="310">
        <f t="shared" si="5"/>
        <v>0</v>
      </c>
      <c r="V70" s="120">
        <f>'As-Filed Schedule 2G'!N70</f>
        <v>0</v>
      </c>
      <c r="W70" s="313">
        <f>SUMIFS(Adjustments!$G:$G,Adjustments!$H:$H,"2G",Adjustments!$I:$I,'Schedule 2G Adjustments'!$V$12,Adjustments!$J:$J,'Schedule 2G Adjustments'!$A70)</f>
        <v>0</v>
      </c>
      <c r="X70" s="309">
        <f t="shared" si="6"/>
        <v>0</v>
      </c>
      <c r="Y70" s="120">
        <f>'As-Filed Schedule 2G'!O70</f>
        <v>0</v>
      </c>
      <c r="Z70" s="313">
        <f>SUMIFS(Adjustments!$G:$G,Adjustments!$H:$H,"2G",Adjustments!$I:$I,'Schedule 2G Adjustments'!$Y$12,Adjustments!$J:$J,'Schedule 2G Adjustments'!$A70)</f>
        <v>0</v>
      </c>
      <c r="AA70" s="309">
        <f t="shared" si="7"/>
        <v>0</v>
      </c>
    </row>
    <row r="71" spans="1:27" x14ac:dyDescent="0.35">
      <c r="A71" s="24">
        <v>57</v>
      </c>
      <c r="B71" s="507" t="str">
        <f>IF('As-Filed Schedule 2G'!B71:D71=0,"",'As-Filed Schedule 2G'!B71:D71)</f>
        <v/>
      </c>
      <c r="C71" s="507"/>
      <c r="D71" s="507"/>
      <c r="F71" s="117">
        <f>'As-Filed Schedule 2G'!F71</f>
        <v>0</v>
      </c>
      <c r="G71" s="313">
        <f>SUMIFS(Adjustments!$G:$G,Adjustments!$H:$H,"2G",Adjustments!$I:$I,'Schedule 2G Adjustments'!$F$12,Adjustments!$J:$J,'Schedule 2G Adjustments'!$A71)</f>
        <v>0</v>
      </c>
      <c r="H71" s="309">
        <f t="shared" si="0"/>
        <v>0</v>
      </c>
      <c r="I71" s="68">
        <f>IFERROR(F71*'As-Filed Schedule 1'!$E$103,0)</f>
        <v>0</v>
      </c>
      <c r="J71" s="310">
        <f>IFERROR(H71*'Adjusted Schedule 1'!$E$104,0)</f>
        <v>0</v>
      </c>
      <c r="K71" s="68">
        <f t="shared" si="1"/>
        <v>0</v>
      </c>
      <c r="L71" s="310">
        <f t="shared" si="2"/>
        <v>0</v>
      </c>
      <c r="N71" s="117">
        <f>'As-Filed Schedule 2G'!J71</f>
        <v>0</v>
      </c>
      <c r="O71" s="313">
        <f>SUMIFS(Adjustments!$G:$G,Adjustments!$H:$H,"2G",Adjustments!$I:$I,'Schedule 2G Adjustments'!$N$12,Adjustments!$J:$J,'Schedule 2G Adjustments'!$A71)</f>
        <v>0</v>
      </c>
      <c r="P71" s="309">
        <f t="shared" si="3"/>
        <v>0</v>
      </c>
      <c r="Q71" s="68">
        <f>IFERROR(N71*'As-Filed Schedule 1'!$E$103,0)</f>
        <v>0</v>
      </c>
      <c r="R71" s="68">
        <f>IFERROR(P71*'Adjusted Schedule 1'!$E$104,0)</f>
        <v>0</v>
      </c>
      <c r="S71" s="68">
        <f t="shared" si="4"/>
        <v>0</v>
      </c>
      <c r="T71" s="310">
        <f t="shared" si="5"/>
        <v>0</v>
      </c>
      <c r="V71" s="120">
        <f>'As-Filed Schedule 2G'!N71</f>
        <v>0</v>
      </c>
      <c r="W71" s="313">
        <f>SUMIFS(Adjustments!$G:$G,Adjustments!$H:$H,"2G",Adjustments!$I:$I,'Schedule 2G Adjustments'!$V$12,Adjustments!$J:$J,'Schedule 2G Adjustments'!$A71)</f>
        <v>0</v>
      </c>
      <c r="X71" s="309">
        <f t="shared" si="6"/>
        <v>0</v>
      </c>
      <c r="Y71" s="120">
        <f>'As-Filed Schedule 2G'!O71</f>
        <v>0</v>
      </c>
      <c r="Z71" s="313">
        <f>SUMIFS(Adjustments!$G:$G,Adjustments!$H:$H,"2G",Adjustments!$I:$I,'Schedule 2G Adjustments'!$Y$12,Adjustments!$J:$J,'Schedule 2G Adjustments'!$A71)</f>
        <v>0</v>
      </c>
      <c r="AA71" s="309">
        <f t="shared" si="7"/>
        <v>0</v>
      </c>
    </row>
    <row r="72" spans="1:27" x14ac:dyDescent="0.35">
      <c r="A72" s="24">
        <v>58</v>
      </c>
      <c r="B72" s="507" t="str">
        <f>IF('As-Filed Schedule 2G'!B72:D72=0,"",'As-Filed Schedule 2G'!B72:D72)</f>
        <v/>
      </c>
      <c r="C72" s="507"/>
      <c r="D72" s="507"/>
      <c r="F72" s="117">
        <f>'As-Filed Schedule 2G'!F72</f>
        <v>0</v>
      </c>
      <c r="G72" s="313">
        <f>SUMIFS(Adjustments!$G:$G,Adjustments!$H:$H,"2G",Adjustments!$I:$I,'Schedule 2G Adjustments'!$F$12,Adjustments!$J:$J,'Schedule 2G Adjustments'!$A72)</f>
        <v>0</v>
      </c>
      <c r="H72" s="309">
        <f t="shared" si="0"/>
        <v>0</v>
      </c>
      <c r="I72" s="68">
        <f>IFERROR(F72*'As-Filed Schedule 1'!$E$103,0)</f>
        <v>0</v>
      </c>
      <c r="J72" s="310">
        <f>IFERROR(H72*'Adjusted Schedule 1'!$E$104,0)</f>
        <v>0</v>
      </c>
      <c r="K72" s="68">
        <f t="shared" si="1"/>
        <v>0</v>
      </c>
      <c r="L72" s="310">
        <f t="shared" si="2"/>
        <v>0</v>
      </c>
      <c r="N72" s="117">
        <f>'As-Filed Schedule 2G'!J72</f>
        <v>0</v>
      </c>
      <c r="O72" s="313">
        <f>SUMIFS(Adjustments!$G:$G,Adjustments!$H:$H,"2G",Adjustments!$I:$I,'Schedule 2G Adjustments'!$N$12,Adjustments!$J:$J,'Schedule 2G Adjustments'!$A72)</f>
        <v>0</v>
      </c>
      <c r="P72" s="309">
        <f t="shared" si="3"/>
        <v>0</v>
      </c>
      <c r="Q72" s="68">
        <f>IFERROR(N72*'As-Filed Schedule 1'!$E$103,0)</f>
        <v>0</v>
      </c>
      <c r="R72" s="68">
        <f>IFERROR(P72*'Adjusted Schedule 1'!$E$104,0)</f>
        <v>0</v>
      </c>
      <c r="S72" s="68">
        <f t="shared" si="4"/>
        <v>0</v>
      </c>
      <c r="T72" s="310">
        <f t="shared" si="5"/>
        <v>0</v>
      </c>
      <c r="V72" s="120">
        <f>'As-Filed Schedule 2G'!N72</f>
        <v>0</v>
      </c>
      <c r="W72" s="313">
        <f>SUMIFS(Adjustments!$G:$G,Adjustments!$H:$H,"2G",Adjustments!$I:$I,'Schedule 2G Adjustments'!$V$12,Adjustments!$J:$J,'Schedule 2G Adjustments'!$A72)</f>
        <v>0</v>
      </c>
      <c r="X72" s="309">
        <f t="shared" si="6"/>
        <v>0</v>
      </c>
      <c r="Y72" s="120">
        <f>'As-Filed Schedule 2G'!O72</f>
        <v>0</v>
      </c>
      <c r="Z72" s="313">
        <f>SUMIFS(Adjustments!$G:$G,Adjustments!$H:$H,"2G",Adjustments!$I:$I,'Schedule 2G Adjustments'!$Y$12,Adjustments!$J:$J,'Schedule 2G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842</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819</v>
      </c>
      <c r="C8" s="1"/>
      <c r="F8" s="119" t="str">
        <f>'As-Filed Schedule 2H'!F8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2H'!B15:D15=0,"",'As-Filed Schedule 2H'!B15:D15)</f>
        <v/>
      </c>
      <c r="C15" s="507"/>
      <c r="D15" s="507"/>
      <c r="F15" s="117">
        <f>'As-Filed Schedule 2H'!F15</f>
        <v>0</v>
      </c>
      <c r="G15" s="313">
        <f>SUMIFS(Adjustments!$G:$G,Adjustments!$H:$H,"2H",Adjustments!$I:$I,'Schedule 2H Adjustments'!$F$12,Adjustments!$J:$J,'Schedule 2H Adjustments'!$A15)</f>
        <v>0</v>
      </c>
      <c r="H15" s="309">
        <f>SUM(F15:G15)</f>
        <v>0</v>
      </c>
      <c r="I15" s="68">
        <f>IFERROR(F15*'As-Filed Schedule 1'!$E$103,0)</f>
        <v>0</v>
      </c>
      <c r="J15" s="310">
        <f>IFERROR(H15*'Adjusted Schedule 1'!$E$104,0)</f>
        <v>0</v>
      </c>
      <c r="K15" s="68">
        <f>SUM(F15,I15)</f>
        <v>0</v>
      </c>
      <c r="L15" s="310">
        <f>SUM(H15,J15)</f>
        <v>0</v>
      </c>
      <c r="N15" s="117">
        <f>'As-Filed Schedule 2H'!J15</f>
        <v>0</v>
      </c>
      <c r="O15" s="313">
        <f>SUMIFS(Adjustments!$G:$G,Adjustments!$H:$H,"2H",Adjustments!$I:$I,'Schedule 2H Adjustments'!$N$12,Adjustments!$J:$J,'Schedule 2H Adjustments'!$A15)</f>
        <v>0</v>
      </c>
      <c r="P15" s="309">
        <f>SUM(N15:O15)</f>
        <v>0</v>
      </c>
      <c r="Q15" s="68">
        <f>IFERROR(N15*'As-Filed Schedule 1'!$E$103,0)</f>
        <v>0</v>
      </c>
      <c r="R15" s="68">
        <f>IFERROR(P15*'Adjusted Schedule 1'!$E$104,0)</f>
        <v>0</v>
      </c>
      <c r="S15" s="68">
        <f>SUM(N15,Q15)</f>
        <v>0</v>
      </c>
      <c r="T15" s="310">
        <f>SUM(P15,R15)</f>
        <v>0</v>
      </c>
      <c r="V15" s="120">
        <f>'As-Filed Schedule 2H'!N15</f>
        <v>0</v>
      </c>
      <c r="W15" s="313">
        <f>SUMIFS(Adjustments!$G:$G,Adjustments!$H:$H,"2H",Adjustments!$I:$I,'Schedule 2H Adjustments'!$V$12,Adjustments!$J:$J,'Schedule 2H Adjustments'!$A15)</f>
        <v>0</v>
      </c>
      <c r="X15" s="309">
        <f>SUM(V15:W15)</f>
        <v>0</v>
      </c>
      <c r="Y15" s="120">
        <f>'As-Filed Schedule 2H'!O15</f>
        <v>0</v>
      </c>
      <c r="Z15" s="313">
        <f>SUMIFS(Adjustments!$G:$G,Adjustments!$H:$H,"2H",Adjustments!$I:$I,'Schedule 2H Adjustments'!$Y$12,Adjustments!$J:$J,'Schedule 2H Adjustments'!$A15)</f>
        <v>0</v>
      </c>
      <c r="AA15" s="309">
        <f>SUM(Y15:Z15)</f>
        <v>0</v>
      </c>
    </row>
    <row r="16" spans="1:27" x14ac:dyDescent="0.35">
      <c r="A16" s="24">
        <v>2</v>
      </c>
      <c r="B16" s="507" t="str">
        <f>IF('As-Filed Schedule 2H'!B16:D16=0,"",'As-Filed Schedule 2H'!B16:D16)</f>
        <v/>
      </c>
      <c r="C16" s="507"/>
      <c r="D16" s="507"/>
      <c r="F16" s="117">
        <f>'As-Filed Schedule 2H'!F16</f>
        <v>0</v>
      </c>
      <c r="G16" s="313">
        <f>SUMIFS(Adjustments!$G:$G,Adjustments!$H:$H,"2H",Adjustments!$I:$I,'Schedule 2H Adjustments'!$F$12,Adjustments!$J:$J,'Schedule 2H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2H'!J16</f>
        <v>0</v>
      </c>
      <c r="O16" s="313">
        <f>SUMIFS(Adjustments!$G:$G,Adjustments!$H:$H,"2H",Adjustments!$I:$I,'Schedule 2H Adjustments'!$N$12,Adjustments!$J:$J,'Schedule 2H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2H'!N16</f>
        <v>0</v>
      </c>
      <c r="W16" s="313">
        <f>SUMIFS(Adjustments!$G:$G,Adjustments!$H:$H,"2H",Adjustments!$I:$I,'Schedule 2H Adjustments'!$V$12,Adjustments!$J:$J,'Schedule 2H Adjustments'!$A16)</f>
        <v>0</v>
      </c>
      <c r="X16" s="309">
        <f t="shared" ref="X16:X72" si="6">SUM(V16:W16)</f>
        <v>0</v>
      </c>
      <c r="Y16" s="120">
        <f>'As-Filed Schedule 2H'!O16</f>
        <v>0</v>
      </c>
      <c r="Z16" s="313">
        <f>SUMIFS(Adjustments!$G:$G,Adjustments!$H:$H,"2H",Adjustments!$I:$I,'Schedule 2H Adjustments'!$Y$12,Adjustments!$J:$J,'Schedule 2H Adjustments'!$A16)</f>
        <v>0</v>
      </c>
      <c r="AA16" s="309">
        <f t="shared" ref="AA16:AA72" si="7">SUM(Y16:Z16)</f>
        <v>0</v>
      </c>
    </row>
    <row r="17" spans="1:27" x14ac:dyDescent="0.35">
      <c r="A17" s="24">
        <v>3</v>
      </c>
      <c r="B17" s="507" t="str">
        <f>IF('As-Filed Schedule 2H'!B17:D17=0,"",'As-Filed Schedule 2H'!B17:D17)</f>
        <v/>
      </c>
      <c r="C17" s="507"/>
      <c r="D17" s="507"/>
      <c r="F17" s="117">
        <f>'As-Filed Schedule 2H'!F17</f>
        <v>0</v>
      </c>
      <c r="G17" s="313">
        <f>SUMIFS(Adjustments!$G:$G,Adjustments!$H:$H,"2H",Adjustments!$I:$I,'Schedule 2H Adjustments'!$F$12,Adjustments!$J:$J,'Schedule 2H Adjustments'!$A17)</f>
        <v>0</v>
      </c>
      <c r="H17" s="309">
        <f t="shared" si="0"/>
        <v>0</v>
      </c>
      <c r="I17" s="68">
        <f>IFERROR(F17*'As-Filed Schedule 1'!$E$103,0)</f>
        <v>0</v>
      </c>
      <c r="J17" s="310">
        <f>IFERROR(H17*'Adjusted Schedule 1'!$E$104,0)</f>
        <v>0</v>
      </c>
      <c r="K17" s="68">
        <f t="shared" si="1"/>
        <v>0</v>
      </c>
      <c r="L17" s="310">
        <f t="shared" si="2"/>
        <v>0</v>
      </c>
      <c r="N17" s="117">
        <f>'As-Filed Schedule 2H'!J17</f>
        <v>0</v>
      </c>
      <c r="O17" s="313">
        <f>SUMIFS(Adjustments!$G:$G,Adjustments!$H:$H,"2H",Adjustments!$I:$I,'Schedule 2H Adjustments'!$N$12,Adjustments!$J:$J,'Schedule 2H Adjustments'!$A17)</f>
        <v>0</v>
      </c>
      <c r="P17" s="309">
        <f t="shared" si="3"/>
        <v>0</v>
      </c>
      <c r="Q17" s="68">
        <f>IFERROR(N17*'As-Filed Schedule 1'!$E$103,0)</f>
        <v>0</v>
      </c>
      <c r="R17" s="68">
        <f>IFERROR(P17*'Adjusted Schedule 1'!$E$104,0)</f>
        <v>0</v>
      </c>
      <c r="S17" s="68">
        <f t="shared" si="4"/>
        <v>0</v>
      </c>
      <c r="T17" s="310">
        <f t="shared" si="5"/>
        <v>0</v>
      </c>
      <c r="V17" s="120">
        <f>'As-Filed Schedule 2H'!N17</f>
        <v>0</v>
      </c>
      <c r="W17" s="313">
        <f>SUMIFS(Adjustments!$G:$G,Adjustments!$H:$H,"2H",Adjustments!$I:$I,'Schedule 2H Adjustments'!$V$12,Adjustments!$J:$J,'Schedule 2H Adjustments'!$A17)</f>
        <v>0</v>
      </c>
      <c r="X17" s="309">
        <f t="shared" si="6"/>
        <v>0</v>
      </c>
      <c r="Y17" s="120">
        <f>'As-Filed Schedule 2H'!O17</f>
        <v>0</v>
      </c>
      <c r="Z17" s="313">
        <f>SUMIFS(Adjustments!$G:$G,Adjustments!$H:$H,"2H",Adjustments!$I:$I,'Schedule 2H Adjustments'!$Y$12,Adjustments!$J:$J,'Schedule 2H Adjustments'!$A17)</f>
        <v>0</v>
      </c>
      <c r="AA17" s="309">
        <f t="shared" si="7"/>
        <v>0</v>
      </c>
    </row>
    <row r="18" spans="1:27" x14ac:dyDescent="0.35">
      <c r="A18" s="24">
        <v>4</v>
      </c>
      <c r="B18" s="507" t="str">
        <f>IF('As-Filed Schedule 2H'!B18:D18=0,"",'As-Filed Schedule 2H'!B18:D18)</f>
        <v/>
      </c>
      <c r="C18" s="507"/>
      <c r="D18" s="507"/>
      <c r="F18" s="117">
        <f>'As-Filed Schedule 2H'!F18</f>
        <v>0</v>
      </c>
      <c r="G18" s="313">
        <f>SUMIFS(Adjustments!$G:$G,Adjustments!$H:$H,"2H",Adjustments!$I:$I,'Schedule 2H Adjustments'!$F$12,Adjustments!$J:$J,'Schedule 2H Adjustments'!$A18)</f>
        <v>0</v>
      </c>
      <c r="H18" s="309">
        <f t="shared" si="0"/>
        <v>0</v>
      </c>
      <c r="I18" s="68">
        <f>IFERROR(F18*'As-Filed Schedule 1'!$E$103,0)</f>
        <v>0</v>
      </c>
      <c r="J18" s="310">
        <f>IFERROR(H18*'Adjusted Schedule 1'!$E$104,0)</f>
        <v>0</v>
      </c>
      <c r="K18" s="68">
        <f>SUM(F18,I18)</f>
        <v>0</v>
      </c>
      <c r="L18" s="310">
        <f>SUM(H18,J18)</f>
        <v>0</v>
      </c>
      <c r="N18" s="117">
        <f>'As-Filed Schedule 2H'!J18</f>
        <v>0</v>
      </c>
      <c r="O18" s="313">
        <f>SUMIFS(Adjustments!$G:$G,Adjustments!$H:$H,"2H",Adjustments!$I:$I,'Schedule 2H Adjustments'!$N$12,Adjustments!$J:$J,'Schedule 2H Adjustments'!$A18)</f>
        <v>0</v>
      </c>
      <c r="P18" s="309">
        <f t="shared" si="3"/>
        <v>0</v>
      </c>
      <c r="Q18" s="68">
        <f>IFERROR(N18*'As-Filed Schedule 1'!$E$103,0)</f>
        <v>0</v>
      </c>
      <c r="R18" s="68">
        <f>IFERROR(P18*'Adjusted Schedule 1'!$E$104,0)</f>
        <v>0</v>
      </c>
      <c r="S18" s="68">
        <f t="shared" si="4"/>
        <v>0</v>
      </c>
      <c r="T18" s="310">
        <f t="shared" si="5"/>
        <v>0</v>
      </c>
      <c r="V18" s="120">
        <f>'As-Filed Schedule 2H'!N18</f>
        <v>0</v>
      </c>
      <c r="W18" s="313">
        <f>SUMIFS(Adjustments!$G:$G,Adjustments!$H:$H,"2H",Adjustments!$I:$I,'Schedule 2H Adjustments'!$V$12,Adjustments!$J:$J,'Schedule 2H Adjustments'!$A18)</f>
        <v>0</v>
      </c>
      <c r="X18" s="309">
        <f t="shared" si="6"/>
        <v>0</v>
      </c>
      <c r="Y18" s="120">
        <f>'As-Filed Schedule 2H'!O18</f>
        <v>0</v>
      </c>
      <c r="Z18" s="313">
        <f>SUMIFS(Adjustments!$G:$G,Adjustments!$H:$H,"2H",Adjustments!$I:$I,'Schedule 2H Adjustments'!$Y$12,Adjustments!$J:$J,'Schedule 2H Adjustments'!$A18)</f>
        <v>0</v>
      </c>
      <c r="AA18" s="309">
        <f t="shared" si="7"/>
        <v>0</v>
      </c>
    </row>
    <row r="19" spans="1:27" x14ac:dyDescent="0.35">
      <c r="A19" s="24">
        <v>5</v>
      </c>
      <c r="B19" s="507" t="str">
        <f>IF('As-Filed Schedule 2H'!B19:D19=0,"",'As-Filed Schedule 2H'!B19:D19)</f>
        <v/>
      </c>
      <c r="C19" s="507"/>
      <c r="D19" s="507"/>
      <c r="F19" s="117">
        <f>'As-Filed Schedule 2H'!F19</f>
        <v>0</v>
      </c>
      <c r="G19" s="313">
        <f>SUMIFS(Adjustments!$G:$G,Adjustments!$H:$H,"2H",Adjustments!$I:$I,'Schedule 2H Adjustments'!$F$12,Adjustments!$J:$J,'Schedule 2H Adjustments'!$A19)</f>
        <v>0</v>
      </c>
      <c r="H19" s="309">
        <f t="shared" si="0"/>
        <v>0</v>
      </c>
      <c r="I19" s="68">
        <f>IFERROR(F19*'As-Filed Schedule 1'!$E$103,0)</f>
        <v>0</v>
      </c>
      <c r="J19" s="310">
        <f>IFERROR(H19*'Adjusted Schedule 1'!$E$104,0)</f>
        <v>0</v>
      </c>
      <c r="K19" s="68">
        <f t="shared" si="1"/>
        <v>0</v>
      </c>
      <c r="L19" s="310">
        <f>SUM(H19,J19)</f>
        <v>0</v>
      </c>
      <c r="N19" s="117">
        <f>'As-Filed Schedule 2H'!J19</f>
        <v>0</v>
      </c>
      <c r="O19" s="313">
        <f>SUMIFS(Adjustments!$G:$G,Adjustments!$H:$H,"2H",Adjustments!$I:$I,'Schedule 2H Adjustments'!$N$12,Adjustments!$J:$J,'Schedule 2H Adjustments'!$A19)</f>
        <v>0</v>
      </c>
      <c r="P19" s="309">
        <f t="shared" si="3"/>
        <v>0</v>
      </c>
      <c r="Q19" s="68">
        <f>IFERROR(N19*'As-Filed Schedule 1'!$E$103,0)</f>
        <v>0</v>
      </c>
      <c r="R19" s="68">
        <f>IFERROR(P19*'Adjusted Schedule 1'!$E$104,0)</f>
        <v>0</v>
      </c>
      <c r="S19" s="68">
        <f t="shared" si="4"/>
        <v>0</v>
      </c>
      <c r="T19" s="310">
        <f t="shared" si="5"/>
        <v>0</v>
      </c>
      <c r="V19" s="120">
        <f>'As-Filed Schedule 2H'!N19</f>
        <v>0</v>
      </c>
      <c r="W19" s="313">
        <f>SUMIFS(Adjustments!$G:$G,Adjustments!$H:$H,"2H",Adjustments!$I:$I,'Schedule 2H Adjustments'!$V$12,Adjustments!$J:$J,'Schedule 2H Adjustments'!$A19)</f>
        <v>0</v>
      </c>
      <c r="X19" s="309">
        <f t="shared" si="6"/>
        <v>0</v>
      </c>
      <c r="Y19" s="120">
        <f>'As-Filed Schedule 2H'!O19</f>
        <v>0</v>
      </c>
      <c r="Z19" s="313">
        <f>SUMIFS(Adjustments!$G:$G,Adjustments!$H:$H,"2H",Adjustments!$I:$I,'Schedule 2H Adjustments'!$Y$12,Adjustments!$J:$J,'Schedule 2H Adjustments'!$A19)</f>
        <v>0</v>
      </c>
      <c r="AA19" s="309">
        <f t="shared" si="7"/>
        <v>0</v>
      </c>
    </row>
    <row r="20" spans="1:27" x14ac:dyDescent="0.35">
      <c r="A20" s="24">
        <v>6</v>
      </c>
      <c r="B20" s="507" t="str">
        <f>IF('As-Filed Schedule 2H'!B20:D20=0,"",'As-Filed Schedule 2H'!B20:D20)</f>
        <v/>
      </c>
      <c r="C20" s="507"/>
      <c r="D20" s="507"/>
      <c r="F20" s="117">
        <f>'As-Filed Schedule 2H'!F20</f>
        <v>0</v>
      </c>
      <c r="G20" s="313">
        <f>SUMIFS(Adjustments!$G:$G,Adjustments!$H:$H,"2H",Adjustments!$I:$I,'Schedule 2H Adjustments'!$F$12,Adjustments!$J:$J,'Schedule 2H Adjustments'!$A20)</f>
        <v>0</v>
      </c>
      <c r="H20" s="309">
        <f t="shared" si="0"/>
        <v>0</v>
      </c>
      <c r="I20" s="68">
        <f>IFERROR(F20*'As-Filed Schedule 1'!$E$103,0)</f>
        <v>0</v>
      </c>
      <c r="J20" s="310">
        <f>IFERROR(H20*'Adjusted Schedule 1'!$E$104,0)</f>
        <v>0</v>
      </c>
      <c r="K20" s="68">
        <f>SUM(F20,I20)</f>
        <v>0</v>
      </c>
      <c r="L20" s="310">
        <f t="shared" si="2"/>
        <v>0</v>
      </c>
      <c r="N20" s="117">
        <f>'As-Filed Schedule 2H'!J20</f>
        <v>0</v>
      </c>
      <c r="O20" s="313">
        <f>SUMIFS(Adjustments!$G:$G,Adjustments!$H:$H,"2H",Adjustments!$I:$I,'Schedule 2H Adjustments'!$N$12,Adjustments!$J:$J,'Schedule 2H Adjustments'!$A20)</f>
        <v>0</v>
      </c>
      <c r="P20" s="309">
        <f t="shared" si="3"/>
        <v>0</v>
      </c>
      <c r="Q20" s="68">
        <f>IFERROR(N20*'As-Filed Schedule 1'!$E$103,0)</f>
        <v>0</v>
      </c>
      <c r="R20" s="68">
        <f>IFERROR(P20*'Adjusted Schedule 1'!$E$104,0)</f>
        <v>0</v>
      </c>
      <c r="S20" s="68">
        <f t="shared" si="4"/>
        <v>0</v>
      </c>
      <c r="T20" s="310">
        <f t="shared" si="5"/>
        <v>0</v>
      </c>
      <c r="V20" s="120">
        <f>'As-Filed Schedule 2H'!N20</f>
        <v>0</v>
      </c>
      <c r="W20" s="313">
        <f>SUMIFS(Adjustments!$G:$G,Adjustments!$H:$H,"2H",Adjustments!$I:$I,'Schedule 2H Adjustments'!$V$12,Adjustments!$J:$J,'Schedule 2H Adjustments'!$A20)</f>
        <v>0</v>
      </c>
      <c r="X20" s="309">
        <f t="shared" si="6"/>
        <v>0</v>
      </c>
      <c r="Y20" s="120">
        <f>'As-Filed Schedule 2H'!O20</f>
        <v>0</v>
      </c>
      <c r="Z20" s="313">
        <f>SUMIFS(Adjustments!$G:$G,Adjustments!$H:$H,"2H",Adjustments!$I:$I,'Schedule 2H Adjustments'!$Y$12,Adjustments!$J:$J,'Schedule 2H Adjustments'!$A20)</f>
        <v>0</v>
      </c>
      <c r="AA20" s="309">
        <f t="shared" si="7"/>
        <v>0</v>
      </c>
    </row>
    <row r="21" spans="1:27" x14ac:dyDescent="0.35">
      <c r="A21" s="24">
        <v>7</v>
      </c>
      <c r="B21" s="507" t="str">
        <f>IF('As-Filed Schedule 2H'!B21:D21=0,"",'As-Filed Schedule 2H'!B21:D21)</f>
        <v/>
      </c>
      <c r="C21" s="507"/>
      <c r="D21" s="507"/>
      <c r="F21" s="117">
        <f>'As-Filed Schedule 2H'!F21</f>
        <v>0</v>
      </c>
      <c r="G21" s="313">
        <f>SUMIFS(Adjustments!$G:$G,Adjustments!$H:$H,"2H",Adjustments!$I:$I,'Schedule 2H Adjustments'!$F$12,Adjustments!$J:$J,'Schedule 2H Adjustments'!$A21)</f>
        <v>0</v>
      </c>
      <c r="H21" s="309">
        <f t="shared" si="0"/>
        <v>0</v>
      </c>
      <c r="I21" s="68">
        <f>IFERROR(F21*'As-Filed Schedule 1'!$E$103,0)</f>
        <v>0</v>
      </c>
      <c r="J21" s="310">
        <f>IFERROR(H21*'Adjusted Schedule 1'!$E$104,0)</f>
        <v>0</v>
      </c>
      <c r="K21" s="68">
        <f t="shared" si="1"/>
        <v>0</v>
      </c>
      <c r="L21" s="310">
        <f t="shared" si="2"/>
        <v>0</v>
      </c>
      <c r="N21" s="117">
        <f>'As-Filed Schedule 2H'!J21</f>
        <v>0</v>
      </c>
      <c r="O21" s="313">
        <f>SUMIFS(Adjustments!$G:$G,Adjustments!$H:$H,"2H",Adjustments!$I:$I,'Schedule 2H Adjustments'!$N$12,Adjustments!$J:$J,'Schedule 2H Adjustments'!$A21)</f>
        <v>0</v>
      </c>
      <c r="P21" s="309">
        <f t="shared" si="3"/>
        <v>0</v>
      </c>
      <c r="Q21" s="68">
        <f>IFERROR(N21*'As-Filed Schedule 1'!$E$103,0)</f>
        <v>0</v>
      </c>
      <c r="R21" s="68">
        <f>IFERROR(P21*'Adjusted Schedule 1'!$E$104,0)</f>
        <v>0</v>
      </c>
      <c r="S21" s="68">
        <f>SUM(N21,Q21)</f>
        <v>0</v>
      </c>
      <c r="T21" s="310">
        <f>SUM(P21,R21)</f>
        <v>0</v>
      </c>
      <c r="V21" s="120">
        <f>'As-Filed Schedule 2H'!N21</f>
        <v>0</v>
      </c>
      <c r="W21" s="313">
        <f>SUMIFS(Adjustments!$G:$G,Adjustments!$H:$H,"2H",Adjustments!$I:$I,'Schedule 2H Adjustments'!$V$12,Adjustments!$J:$J,'Schedule 2H Adjustments'!$A21)</f>
        <v>0</v>
      </c>
      <c r="X21" s="309">
        <f t="shared" si="6"/>
        <v>0</v>
      </c>
      <c r="Y21" s="120">
        <f>'As-Filed Schedule 2H'!O21</f>
        <v>0</v>
      </c>
      <c r="Z21" s="313">
        <f>SUMIFS(Adjustments!$G:$G,Adjustments!$H:$H,"2H",Adjustments!$I:$I,'Schedule 2H Adjustments'!$Y$12,Adjustments!$J:$J,'Schedule 2H Adjustments'!$A21)</f>
        <v>0</v>
      </c>
      <c r="AA21" s="309">
        <f t="shared" si="7"/>
        <v>0</v>
      </c>
    </row>
    <row r="22" spans="1:27" x14ac:dyDescent="0.35">
      <c r="A22" s="24">
        <v>8</v>
      </c>
      <c r="B22" s="507" t="str">
        <f>IF('As-Filed Schedule 2H'!B22:D22=0,"",'As-Filed Schedule 2H'!B22:D22)</f>
        <v/>
      </c>
      <c r="C22" s="507"/>
      <c r="D22" s="507"/>
      <c r="F22" s="117">
        <f>'As-Filed Schedule 2H'!F22</f>
        <v>0</v>
      </c>
      <c r="G22" s="313">
        <f>SUMIFS(Adjustments!$G:$G,Adjustments!$H:$H,"2H",Adjustments!$I:$I,'Schedule 2H Adjustments'!$F$12,Adjustments!$J:$J,'Schedule 2H Adjustments'!$A22)</f>
        <v>0</v>
      </c>
      <c r="H22" s="309">
        <f t="shared" si="0"/>
        <v>0</v>
      </c>
      <c r="I22" s="68">
        <f>IFERROR(F22*'As-Filed Schedule 1'!$E$103,0)</f>
        <v>0</v>
      </c>
      <c r="J22" s="310">
        <f>IFERROR(H22*'Adjusted Schedule 1'!$E$104,0)</f>
        <v>0</v>
      </c>
      <c r="K22" s="68">
        <f t="shared" si="1"/>
        <v>0</v>
      </c>
      <c r="L22" s="310">
        <f t="shared" si="2"/>
        <v>0</v>
      </c>
      <c r="N22" s="117">
        <f>'As-Filed Schedule 2H'!J22</f>
        <v>0</v>
      </c>
      <c r="O22" s="313">
        <f>SUMIFS(Adjustments!$G:$G,Adjustments!$H:$H,"2H",Adjustments!$I:$I,'Schedule 2H Adjustments'!$N$12,Adjustments!$J:$J,'Schedule 2H Adjustments'!$A22)</f>
        <v>0</v>
      </c>
      <c r="P22" s="309">
        <f t="shared" si="3"/>
        <v>0</v>
      </c>
      <c r="Q22" s="68">
        <f>IFERROR(N22*'As-Filed Schedule 1'!$E$103,0)</f>
        <v>0</v>
      </c>
      <c r="R22" s="68">
        <f>IFERROR(P22*'Adjusted Schedule 1'!$E$104,0)</f>
        <v>0</v>
      </c>
      <c r="S22" s="68">
        <f t="shared" si="4"/>
        <v>0</v>
      </c>
      <c r="T22" s="310">
        <f t="shared" si="5"/>
        <v>0</v>
      </c>
      <c r="V22" s="120">
        <f>'As-Filed Schedule 2H'!N22</f>
        <v>0</v>
      </c>
      <c r="W22" s="313">
        <f>SUMIFS(Adjustments!$G:$G,Adjustments!$H:$H,"2H",Adjustments!$I:$I,'Schedule 2H Adjustments'!$V$12,Adjustments!$J:$J,'Schedule 2H Adjustments'!$A22)</f>
        <v>0</v>
      </c>
      <c r="X22" s="309">
        <f t="shared" si="6"/>
        <v>0</v>
      </c>
      <c r="Y22" s="120">
        <f>'As-Filed Schedule 2H'!O22</f>
        <v>0</v>
      </c>
      <c r="Z22" s="313">
        <f>SUMIFS(Adjustments!$G:$G,Adjustments!$H:$H,"2H",Adjustments!$I:$I,'Schedule 2H Adjustments'!$Y$12,Adjustments!$J:$J,'Schedule 2H Adjustments'!$A22)</f>
        <v>0</v>
      </c>
      <c r="AA22" s="309">
        <f t="shared" si="7"/>
        <v>0</v>
      </c>
    </row>
    <row r="23" spans="1:27" x14ac:dyDescent="0.35">
      <c r="A23" s="24">
        <v>9</v>
      </c>
      <c r="B23" s="507" t="str">
        <f>IF('As-Filed Schedule 2H'!B23:D23=0,"",'As-Filed Schedule 2H'!B23:D23)</f>
        <v/>
      </c>
      <c r="C23" s="507"/>
      <c r="D23" s="507"/>
      <c r="F23" s="117">
        <f>'As-Filed Schedule 2H'!F23</f>
        <v>0</v>
      </c>
      <c r="G23" s="313">
        <f>SUMIFS(Adjustments!$G:$G,Adjustments!$H:$H,"2H",Adjustments!$I:$I,'Schedule 2H Adjustments'!$F$12,Adjustments!$J:$J,'Schedule 2H Adjustments'!$A23)</f>
        <v>0</v>
      </c>
      <c r="H23" s="309">
        <f t="shared" si="0"/>
        <v>0</v>
      </c>
      <c r="I23" s="68">
        <f>IFERROR(F23*'As-Filed Schedule 1'!$E$103,0)</f>
        <v>0</v>
      </c>
      <c r="J23" s="310">
        <f>IFERROR(H23*'Adjusted Schedule 1'!$E$104,0)</f>
        <v>0</v>
      </c>
      <c r="K23" s="68">
        <f t="shared" si="1"/>
        <v>0</v>
      </c>
      <c r="L23" s="310">
        <f t="shared" si="2"/>
        <v>0</v>
      </c>
      <c r="N23" s="117">
        <f>'As-Filed Schedule 2H'!J23</f>
        <v>0</v>
      </c>
      <c r="O23" s="313">
        <f>SUMIFS(Adjustments!$G:$G,Adjustments!$H:$H,"2H",Adjustments!$I:$I,'Schedule 2H Adjustments'!$N$12,Adjustments!$J:$J,'Schedule 2H Adjustments'!$A23)</f>
        <v>0</v>
      </c>
      <c r="P23" s="309">
        <f t="shared" si="3"/>
        <v>0</v>
      </c>
      <c r="Q23" s="68">
        <f>IFERROR(N23*'As-Filed Schedule 1'!$E$103,0)</f>
        <v>0</v>
      </c>
      <c r="R23" s="68">
        <f>IFERROR(P23*'Adjusted Schedule 1'!$E$104,0)</f>
        <v>0</v>
      </c>
      <c r="S23" s="68">
        <f t="shared" si="4"/>
        <v>0</v>
      </c>
      <c r="T23" s="310">
        <f t="shared" si="5"/>
        <v>0</v>
      </c>
      <c r="V23" s="120">
        <f>'As-Filed Schedule 2H'!N23</f>
        <v>0</v>
      </c>
      <c r="W23" s="313">
        <f>SUMIFS(Adjustments!$G:$G,Adjustments!$H:$H,"2H",Adjustments!$I:$I,'Schedule 2H Adjustments'!$V$12,Adjustments!$J:$J,'Schedule 2H Adjustments'!$A23)</f>
        <v>0</v>
      </c>
      <c r="X23" s="309">
        <f t="shared" si="6"/>
        <v>0</v>
      </c>
      <c r="Y23" s="120">
        <f>'As-Filed Schedule 2H'!O23</f>
        <v>0</v>
      </c>
      <c r="Z23" s="313">
        <f>SUMIFS(Adjustments!$G:$G,Adjustments!$H:$H,"2H",Adjustments!$I:$I,'Schedule 2H Adjustments'!$Y$12,Adjustments!$J:$J,'Schedule 2H Adjustments'!$A23)</f>
        <v>0</v>
      </c>
      <c r="AA23" s="309">
        <f t="shared" si="7"/>
        <v>0</v>
      </c>
    </row>
    <row r="24" spans="1:27" x14ac:dyDescent="0.35">
      <c r="A24" s="24">
        <v>10</v>
      </c>
      <c r="B24" s="507" t="str">
        <f>IF('As-Filed Schedule 2H'!B24:D24=0,"",'As-Filed Schedule 2H'!B24:D24)</f>
        <v/>
      </c>
      <c r="C24" s="507"/>
      <c r="D24" s="507"/>
      <c r="F24" s="117">
        <f>'As-Filed Schedule 2H'!F24</f>
        <v>0</v>
      </c>
      <c r="G24" s="313">
        <f>SUMIFS(Adjustments!$G:$G,Adjustments!$H:$H,"2H",Adjustments!$I:$I,'Schedule 2H Adjustments'!$F$12,Adjustments!$J:$J,'Schedule 2H Adjustments'!$A24)</f>
        <v>0</v>
      </c>
      <c r="H24" s="309">
        <f t="shared" si="0"/>
        <v>0</v>
      </c>
      <c r="I24" s="68">
        <f>IFERROR(F24*'As-Filed Schedule 1'!$E$103,0)</f>
        <v>0</v>
      </c>
      <c r="J24" s="310">
        <f>IFERROR(H24*'Adjusted Schedule 1'!$E$104,0)</f>
        <v>0</v>
      </c>
      <c r="K24" s="68">
        <f t="shared" si="1"/>
        <v>0</v>
      </c>
      <c r="L24" s="310">
        <f t="shared" si="2"/>
        <v>0</v>
      </c>
      <c r="N24" s="117">
        <f>'As-Filed Schedule 2H'!J24</f>
        <v>0</v>
      </c>
      <c r="O24" s="313">
        <f>SUMIFS(Adjustments!$G:$G,Adjustments!$H:$H,"2H",Adjustments!$I:$I,'Schedule 2H Adjustments'!$N$12,Adjustments!$J:$J,'Schedule 2H Adjustments'!$A24)</f>
        <v>0</v>
      </c>
      <c r="P24" s="309">
        <f t="shared" si="3"/>
        <v>0</v>
      </c>
      <c r="Q24" s="68">
        <f>IFERROR(N24*'As-Filed Schedule 1'!$E$103,0)</f>
        <v>0</v>
      </c>
      <c r="R24" s="68">
        <f>IFERROR(P24*'Adjusted Schedule 1'!$E$104,0)</f>
        <v>0</v>
      </c>
      <c r="S24" s="68">
        <f t="shared" si="4"/>
        <v>0</v>
      </c>
      <c r="T24" s="310">
        <f t="shared" si="5"/>
        <v>0</v>
      </c>
      <c r="V24" s="120">
        <f>'As-Filed Schedule 2H'!N24</f>
        <v>0</v>
      </c>
      <c r="W24" s="313">
        <f>SUMIFS(Adjustments!$G:$G,Adjustments!$H:$H,"2H",Adjustments!$I:$I,'Schedule 2H Adjustments'!$V$12,Adjustments!$J:$J,'Schedule 2H Adjustments'!$A24)</f>
        <v>0</v>
      </c>
      <c r="X24" s="309">
        <f t="shared" si="6"/>
        <v>0</v>
      </c>
      <c r="Y24" s="120">
        <f>'As-Filed Schedule 2H'!O24</f>
        <v>0</v>
      </c>
      <c r="Z24" s="313">
        <f>SUMIFS(Adjustments!$G:$G,Adjustments!$H:$H,"2H",Adjustments!$I:$I,'Schedule 2H Adjustments'!$Y$12,Adjustments!$J:$J,'Schedule 2H Adjustments'!$A24)</f>
        <v>0</v>
      </c>
      <c r="AA24" s="309">
        <f t="shared" si="7"/>
        <v>0</v>
      </c>
    </row>
    <row r="25" spans="1:27" x14ac:dyDescent="0.35">
      <c r="A25" s="24">
        <v>11</v>
      </c>
      <c r="B25" s="507" t="str">
        <f>IF('As-Filed Schedule 2H'!B25:D25=0,"",'As-Filed Schedule 2H'!B25:D25)</f>
        <v/>
      </c>
      <c r="C25" s="507"/>
      <c r="D25" s="507"/>
      <c r="F25" s="117">
        <f>'As-Filed Schedule 2H'!F25</f>
        <v>0</v>
      </c>
      <c r="G25" s="313">
        <f>SUMIFS(Adjustments!$G:$G,Adjustments!$H:$H,"2H",Adjustments!$I:$I,'Schedule 2H Adjustments'!$F$12,Adjustments!$J:$J,'Schedule 2H Adjustments'!$A25)</f>
        <v>0</v>
      </c>
      <c r="H25" s="309">
        <f t="shared" si="0"/>
        <v>0</v>
      </c>
      <c r="I25" s="68">
        <f>IFERROR(F25*'As-Filed Schedule 1'!$E$103,0)</f>
        <v>0</v>
      </c>
      <c r="J25" s="310">
        <f>IFERROR(H25*'Adjusted Schedule 1'!$E$104,0)</f>
        <v>0</v>
      </c>
      <c r="K25" s="68">
        <f t="shared" si="1"/>
        <v>0</v>
      </c>
      <c r="L25" s="310">
        <f t="shared" si="2"/>
        <v>0</v>
      </c>
      <c r="N25" s="117">
        <f>'As-Filed Schedule 2H'!J25</f>
        <v>0</v>
      </c>
      <c r="O25" s="313">
        <f>SUMIFS(Adjustments!$G:$G,Adjustments!$H:$H,"2H",Adjustments!$I:$I,'Schedule 2H Adjustments'!$N$12,Adjustments!$J:$J,'Schedule 2H Adjustments'!$A25)</f>
        <v>0</v>
      </c>
      <c r="P25" s="309">
        <f t="shared" si="3"/>
        <v>0</v>
      </c>
      <c r="Q25" s="68">
        <f>IFERROR(N25*'As-Filed Schedule 1'!$E$103,0)</f>
        <v>0</v>
      </c>
      <c r="R25" s="68">
        <f>IFERROR(P25*'Adjusted Schedule 1'!$E$104,0)</f>
        <v>0</v>
      </c>
      <c r="S25" s="68">
        <f t="shared" si="4"/>
        <v>0</v>
      </c>
      <c r="T25" s="310">
        <f t="shared" si="5"/>
        <v>0</v>
      </c>
      <c r="V25" s="120">
        <f>'As-Filed Schedule 2H'!N25</f>
        <v>0</v>
      </c>
      <c r="W25" s="313">
        <f>SUMIFS(Adjustments!$G:$G,Adjustments!$H:$H,"2H",Adjustments!$I:$I,'Schedule 2H Adjustments'!$V$12,Adjustments!$J:$J,'Schedule 2H Adjustments'!$A25)</f>
        <v>0</v>
      </c>
      <c r="X25" s="309">
        <f t="shared" si="6"/>
        <v>0</v>
      </c>
      <c r="Y25" s="120">
        <f>'As-Filed Schedule 2H'!O25</f>
        <v>0</v>
      </c>
      <c r="Z25" s="313">
        <f>SUMIFS(Adjustments!$G:$G,Adjustments!$H:$H,"2H",Adjustments!$I:$I,'Schedule 2H Adjustments'!$Y$12,Adjustments!$J:$J,'Schedule 2H Adjustments'!$A25)</f>
        <v>0</v>
      </c>
      <c r="AA25" s="309">
        <f t="shared" si="7"/>
        <v>0</v>
      </c>
    </row>
    <row r="26" spans="1:27" x14ac:dyDescent="0.35">
      <c r="A26" s="24">
        <v>12</v>
      </c>
      <c r="B26" s="507" t="str">
        <f>IF('As-Filed Schedule 2H'!B26:D26=0,"",'As-Filed Schedule 2H'!B26:D26)</f>
        <v/>
      </c>
      <c r="C26" s="507"/>
      <c r="D26" s="507"/>
      <c r="F26" s="117">
        <f>'As-Filed Schedule 2H'!F26</f>
        <v>0</v>
      </c>
      <c r="G26" s="313">
        <f>SUMIFS(Adjustments!$G:$G,Adjustments!$H:$H,"2H",Adjustments!$I:$I,'Schedule 2H Adjustments'!$F$12,Adjustments!$J:$J,'Schedule 2H Adjustments'!$A26)</f>
        <v>0</v>
      </c>
      <c r="H26" s="309">
        <f t="shared" si="0"/>
        <v>0</v>
      </c>
      <c r="I26" s="68">
        <f>IFERROR(F26*'As-Filed Schedule 1'!$E$103,0)</f>
        <v>0</v>
      </c>
      <c r="J26" s="310">
        <f>IFERROR(H26*'Adjusted Schedule 1'!$E$104,0)</f>
        <v>0</v>
      </c>
      <c r="K26" s="68">
        <f t="shared" si="1"/>
        <v>0</v>
      </c>
      <c r="L26" s="310">
        <f t="shared" si="2"/>
        <v>0</v>
      </c>
      <c r="N26" s="117">
        <f>'As-Filed Schedule 2H'!J26</f>
        <v>0</v>
      </c>
      <c r="O26" s="313">
        <f>SUMIFS(Adjustments!$G:$G,Adjustments!$H:$H,"2H",Adjustments!$I:$I,'Schedule 2H Adjustments'!$N$12,Adjustments!$J:$J,'Schedule 2H Adjustments'!$A26)</f>
        <v>0</v>
      </c>
      <c r="P26" s="309">
        <f t="shared" si="3"/>
        <v>0</v>
      </c>
      <c r="Q26" s="68">
        <f>IFERROR(N26*'As-Filed Schedule 1'!$E$103,0)</f>
        <v>0</v>
      </c>
      <c r="R26" s="68">
        <f>IFERROR(P26*'Adjusted Schedule 1'!$E$104,0)</f>
        <v>0</v>
      </c>
      <c r="S26" s="68">
        <f t="shared" si="4"/>
        <v>0</v>
      </c>
      <c r="T26" s="310">
        <f t="shared" si="5"/>
        <v>0</v>
      </c>
      <c r="V26" s="120">
        <f>'As-Filed Schedule 2H'!N26</f>
        <v>0</v>
      </c>
      <c r="W26" s="313">
        <f>SUMIFS(Adjustments!$G:$G,Adjustments!$H:$H,"2H",Adjustments!$I:$I,'Schedule 2H Adjustments'!$V$12,Adjustments!$J:$J,'Schedule 2H Adjustments'!$A26)</f>
        <v>0</v>
      </c>
      <c r="X26" s="309">
        <f t="shared" si="6"/>
        <v>0</v>
      </c>
      <c r="Y26" s="120">
        <f>'As-Filed Schedule 2H'!O26</f>
        <v>0</v>
      </c>
      <c r="Z26" s="313">
        <f>SUMIFS(Adjustments!$G:$G,Adjustments!$H:$H,"2H",Adjustments!$I:$I,'Schedule 2H Adjustments'!$Y$12,Adjustments!$J:$J,'Schedule 2H Adjustments'!$A26)</f>
        <v>0</v>
      </c>
      <c r="AA26" s="309">
        <f t="shared" si="7"/>
        <v>0</v>
      </c>
    </row>
    <row r="27" spans="1:27" x14ac:dyDescent="0.35">
      <c r="A27" s="24">
        <v>13</v>
      </c>
      <c r="B27" s="507" t="str">
        <f>IF('As-Filed Schedule 2H'!B27:D27=0,"",'As-Filed Schedule 2H'!B27:D27)</f>
        <v/>
      </c>
      <c r="C27" s="507"/>
      <c r="D27" s="507"/>
      <c r="F27" s="117">
        <f>'As-Filed Schedule 2H'!F27</f>
        <v>0</v>
      </c>
      <c r="G27" s="313">
        <f>SUMIFS(Adjustments!$G:$G,Adjustments!$H:$H,"2H",Adjustments!$I:$I,'Schedule 2H Adjustments'!$F$12,Adjustments!$J:$J,'Schedule 2H Adjustments'!$A27)</f>
        <v>0</v>
      </c>
      <c r="H27" s="309">
        <f t="shared" si="0"/>
        <v>0</v>
      </c>
      <c r="I27" s="68">
        <f>IFERROR(F27*'As-Filed Schedule 1'!$E$103,0)</f>
        <v>0</v>
      </c>
      <c r="J27" s="310">
        <f>IFERROR(H27*'Adjusted Schedule 1'!$E$104,0)</f>
        <v>0</v>
      </c>
      <c r="K27" s="68">
        <f t="shared" si="1"/>
        <v>0</v>
      </c>
      <c r="L27" s="310">
        <f t="shared" si="2"/>
        <v>0</v>
      </c>
      <c r="N27" s="117">
        <f>'As-Filed Schedule 2H'!J27</f>
        <v>0</v>
      </c>
      <c r="O27" s="313">
        <f>SUMIFS(Adjustments!$G:$G,Adjustments!$H:$H,"2H",Adjustments!$I:$I,'Schedule 2H Adjustments'!$N$12,Adjustments!$J:$J,'Schedule 2H Adjustments'!$A27)</f>
        <v>0</v>
      </c>
      <c r="P27" s="309">
        <f t="shared" si="3"/>
        <v>0</v>
      </c>
      <c r="Q27" s="68">
        <f>IFERROR(N27*'As-Filed Schedule 1'!$E$103,0)</f>
        <v>0</v>
      </c>
      <c r="R27" s="68">
        <f>IFERROR(P27*'Adjusted Schedule 1'!$E$104,0)</f>
        <v>0</v>
      </c>
      <c r="S27" s="68">
        <f t="shared" si="4"/>
        <v>0</v>
      </c>
      <c r="T27" s="310">
        <f t="shared" si="5"/>
        <v>0</v>
      </c>
      <c r="V27" s="120">
        <f>'As-Filed Schedule 2H'!N27</f>
        <v>0</v>
      </c>
      <c r="W27" s="313">
        <f>SUMIFS(Adjustments!$G:$G,Adjustments!$H:$H,"2H",Adjustments!$I:$I,'Schedule 2H Adjustments'!$V$12,Adjustments!$J:$J,'Schedule 2H Adjustments'!$A27)</f>
        <v>0</v>
      </c>
      <c r="X27" s="309">
        <f t="shared" si="6"/>
        <v>0</v>
      </c>
      <c r="Y27" s="120">
        <f>'As-Filed Schedule 2H'!O27</f>
        <v>0</v>
      </c>
      <c r="Z27" s="313">
        <f>SUMIFS(Adjustments!$G:$G,Adjustments!$H:$H,"2H",Adjustments!$I:$I,'Schedule 2H Adjustments'!$Y$12,Adjustments!$J:$J,'Schedule 2H Adjustments'!$A27)</f>
        <v>0</v>
      </c>
      <c r="AA27" s="309">
        <f t="shared" si="7"/>
        <v>0</v>
      </c>
    </row>
    <row r="28" spans="1:27" x14ac:dyDescent="0.35">
      <c r="A28" s="24">
        <v>14</v>
      </c>
      <c r="B28" s="507" t="str">
        <f>IF('As-Filed Schedule 2H'!B28:D28=0,"",'As-Filed Schedule 2H'!B28:D28)</f>
        <v/>
      </c>
      <c r="C28" s="507"/>
      <c r="D28" s="507"/>
      <c r="F28" s="117">
        <f>'As-Filed Schedule 2H'!F28</f>
        <v>0</v>
      </c>
      <c r="G28" s="313">
        <f>SUMIFS(Adjustments!$G:$G,Adjustments!$H:$H,"2H",Adjustments!$I:$I,'Schedule 2H Adjustments'!$F$12,Adjustments!$J:$J,'Schedule 2H Adjustments'!$A28)</f>
        <v>0</v>
      </c>
      <c r="H28" s="309">
        <f t="shared" si="0"/>
        <v>0</v>
      </c>
      <c r="I28" s="68">
        <f>IFERROR(F28*'As-Filed Schedule 1'!$E$103,0)</f>
        <v>0</v>
      </c>
      <c r="J28" s="310">
        <f>IFERROR(H28*'Adjusted Schedule 1'!$E$104,0)</f>
        <v>0</v>
      </c>
      <c r="K28" s="68">
        <f t="shared" si="1"/>
        <v>0</v>
      </c>
      <c r="L28" s="310">
        <f t="shared" si="2"/>
        <v>0</v>
      </c>
      <c r="N28" s="117">
        <f>'As-Filed Schedule 2H'!J28</f>
        <v>0</v>
      </c>
      <c r="O28" s="313">
        <f>SUMIFS(Adjustments!$G:$G,Adjustments!$H:$H,"2H",Adjustments!$I:$I,'Schedule 2H Adjustments'!$N$12,Adjustments!$J:$J,'Schedule 2H Adjustments'!$A28)</f>
        <v>0</v>
      </c>
      <c r="P28" s="309">
        <f t="shared" si="3"/>
        <v>0</v>
      </c>
      <c r="Q28" s="68">
        <f>IFERROR(N28*'As-Filed Schedule 1'!$E$103,0)</f>
        <v>0</v>
      </c>
      <c r="R28" s="68">
        <f>IFERROR(P28*'Adjusted Schedule 1'!$E$104,0)</f>
        <v>0</v>
      </c>
      <c r="S28" s="68">
        <f t="shared" si="4"/>
        <v>0</v>
      </c>
      <c r="T28" s="310">
        <f t="shared" si="5"/>
        <v>0</v>
      </c>
      <c r="V28" s="120">
        <f>'As-Filed Schedule 2H'!N28</f>
        <v>0</v>
      </c>
      <c r="W28" s="313">
        <f>SUMIFS(Adjustments!$G:$G,Adjustments!$H:$H,"2H",Adjustments!$I:$I,'Schedule 2H Adjustments'!$V$12,Adjustments!$J:$J,'Schedule 2H Adjustments'!$A28)</f>
        <v>0</v>
      </c>
      <c r="X28" s="309">
        <f t="shared" si="6"/>
        <v>0</v>
      </c>
      <c r="Y28" s="120">
        <f>'As-Filed Schedule 2H'!O28</f>
        <v>0</v>
      </c>
      <c r="Z28" s="313">
        <f>SUMIFS(Adjustments!$G:$G,Adjustments!$H:$H,"2H",Adjustments!$I:$I,'Schedule 2H Adjustments'!$Y$12,Adjustments!$J:$J,'Schedule 2H Adjustments'!$A28)</f>
        <v>0</v>
      </c>
      <c r="AA28" s="309">
        <f t="shared" si="7"/>
        <v>0</v>
      </c>
    </row>
    <row r="29" spans="1:27" x14ac:dyDescent="0.35">
      <c r="A29" s="24">
        <v>15</v>
      </c>
      <c r="B29" s="507" t="str">
        <f>IF('As-Filed Schedule 2H'!B29:D29=0,"",'As-Filed Schedule 2H'!B29:D29)</f>
        <v/>
      </c>
      <c r="C29" s="507"/>
      <c r="D29" s="507"/>
      <c r="F29" s="117">
        <f>'As-Filed Schedule 2H'!F29</f>
        <v>0</v>
      </c>
      <c r="G29" s="313">
        <f>SUMIFS(Adjustments!$G:$G,Adjustments!$H:$H,"2H",Adjustments!$I:$I,'Schedule 2H Adjustments'!$F$12,Adjustments!$J:$J,'Schedule 2H Adjustments'!$A29)</f>
        <v>0</v>
      </c>
      <c r="H29" s="309">
        <f t="shared" si="0"/>
        <v>0</v>
      </c>
      <c r="I29" s="68">
        <f>IFERROR(F29*'As-Filed Schedule 1'!$E$103,0)</f>
        <v>0</v>
      </c>
      <c r="J29" s="310">
        <f>IFERROR(H29*'Adjusted Schedule 1'!$E$104,0)</f>
        <v>0</v>
      </c>
      <c r="K29" s="68">
        <f t="shared" si="1"/>
        <v>0</v>
      </c>
      <c r="L29" s="310">
        <f t="shared" si="2"/>
        <v>0</v>
      </c>
      <c r="N29" s="117">
        <f>'As-Filed Schedule 2H'!J29</f>
        <v>0</v>
      </c>
      <c r="O29" s="313">
        <f>SUMIFS(Adjustments!$G:$G,Adjustments!$H:$H,"2H",Adjustments!$I:$I,'Schedule 2H Adjustments'!$N$12,Adjustments!$J:$J,'Schedule 2H Adjustments'!$A29)</f>
        <v>0</v>
      </c>
      <c r="P29" s="309">
        <f t="shared" si="3"/>
        <v>0</v>
      </c>
      <c r="Q29" s="68">
        <f>IFERROR(N29*'As-Filed Schedule 1'!$E$103,0)</f>
        <v>0</v>
      </c>
      <c r="R29" s="68">
        <f>IFERROR(P29*'Adjusted Schedule 1'!$E$104,0)</f>
        <v>0</v>
      </c>
      <c r="S29" s="68">
        <f t="shared" si="4"/>
        <v>0</v>
      </c>
      <c r="T29" s="310">
        <f t="shared" si="5"/>
        <v>0</v>
      </c>
      <c r="V29" s="120">
        <f>'As-Filed Schedule 2H'!N29</f>
        <v>0</v>
      </c>
      <c r="W29" s="313">
        <f>SUMIFS(Adjustments!$G:$G,Adjustments!$H:$H,"2H",Adjustments!$I:$I,'Schedule 2H Adjustments'!$V$12,Adjustments!$J:$J,'Schedule 2H Adjustments'!$A29)</f>
        <v>0</v>
      </c>
      <c r="X29" s="309">
        <f t="shared" si="6"/>
        <v>0</v>
      </c>
      <c r="Y29" s="120">
        <f>'As-Filed Schedule 2H'!O29</f>
        <v>0</v>
      </c>
      <c r="Z29" s="313">
        <f>SUMIFS(Adjustments!$G:$G,Adjustments!$H:$H,"2H",Adjustments!$I:$I,'Schedule 2H Adjustments'!$Y$12,Adjustments!$J:$J,'Schedule 2H Adjustments'!$A29)</f>
        <v>0</v>
      </c>
      <c r="AA29" s="309">
        <f t="shared" si="7"/>
        <v>0</v>
      </c>
    </row>
    <row r="30" spans="1:27" x14ac:dyDescent="0.35">
      <c r="A30" s="24">
        <v>16</v>
      </c>
      <c r="B30" s="507" t="str">
        <f>IF('As-Filed Schedule 2H'!B30:D30=0,"",'As-Filed Schedule 2H'!B30:D30)</f>
        <v/>
      </c>
      <c r="C30" s="507"/>
      <c r="D30" s="507"/>
      <c r="F30" s="117">
        <f>'As-Filed Schedule 2H'!F30</f>
        <v>0</v>
      </c>
      <c r="G30" s="313">
        <f>SUMIFS(Adjustments!$G:$G,Adjustments!$H:$H,"2H",Adjustments!$I:$I,'Schedule 2H Adjustments'!$F$12,Adjustments!$J:$J,'Schedule 2H Adjustments'!$A30)</f>
        <v>0</v>
      </c>
      <c r="H30" s="309">
        <f t="shared" si="0"/>
        <v>0</v>
      </c>
      <c r="I30" s="68">
        <f>IFERROR(F30*'As-Filed Schedule 1'!$E$103,0)</f>
        <v>0</v>
      </c>
      <c r="J30" s="310">
        <f>IFERROR(H30*'Adjusted Schedule 1'!$E$104,0)</f>
        <v>0</v>
      </c>
      <c r="K30" s="68">
        <f t="shared" si="1"/>
        <v>0</v>
      </c>
      <c r="L30" s="310">
        <f t="shared" si="2"/>
        <v>0</v>
      </c>
      <c r="N30" s="117">
        <f>'As-Filed Schedule 2H'!J30</f>
        <v>0</v>
      </c>
      <c r="O30" s="313">
        <f>SUMIFS(Adjustments!$G:$G,Adjustments!$H:$H,"2H",Adjustments!$I:$I,'Schedule 2H Adjustments'!$N$12,Adjustments!$J:$J,'Schedule 2H Adjustments'!$A30)</f>
        <v>0</v>
      </c>
      <c r="P30" s="309">
        <f t="shared" si="3"/>
        <v>0</v>
      </c>
      <c r="Q30" s="68">
        <f>IFERROR(N30*'As-Filed Schedule 1'!$E$103,0)</f>
        <v>0</v>
      </c>
      <c r="R30" s="68">
        <f>IFERROR(P30*'Adjusted Schedule 1'!$E$104,0)</f>
        <v>0</v>
      </c>
      <c r="S30" s="68">
        <f t="shared" si="4"/>
        <v>0</v>
      </c>
      <c r="T30" s="310">
        <f t="shared" si="5"/>
        <v>0</v>
      </c>
      <c r="V30" s="120">
        <f>'As-Filed Schedule 2H'!N30</f>
        <v>0</v>
      </c>
      <c r="W30" s="313">
        <f>SUMIFS(Adjustments!$G:$G,Adjustments!$H:$H,"2H",Adjustments!$I:$I,'Schedule 2H Adjustments'!$V$12,Adjustments!$J:$J,'Schedule 2H Adjustments'!$A30)</f>
        <v>0</v>
      </c>
      <c r="X30" s="309">
        <f t="shared" si="6"/>
        <v>0</v>
      </c>
      <c r="Y30" s="120">
        <f>'As-Filed Schedule 2H'!O30</f>
        <v>0</v>
      </c>
      <c r="Z30" s="313">
        <f>SUMIFS(Adjustments!$G:$G,Adjustments!$H:$H,"2H",Adjustments!$I:$I,'Schedule 2H Adjustments'!$Y$12,Adjustments!$J:$J,'Schedule 2H Adjustments'!$A30)</f>
        <v>0</v>
      </c>
      <c r="AA30" s="309">
        <f t="shared" si="7"/>
        <v>0</v>
      </c>
    </row>
    <row r="31" spans="1:27" x14ac:dyDescent="0.35">
      <c r="A31" s="24">
        <v>17</v>
      </c>
      <c r="B31" s="507" t="str">
        <f>IF('As-Filed Schedule 2H'!B31:D31=0,"",'As-Filed Schedule 2H'!B31:D31)</f>
        <v/>
      </c>
      <c r="C31" s="507"/>
      <c r="D31" s="507"/>
      <c r="F31" s="117">
        <f>'As-Filed Schedule 2H'!F31</f>
        <v>0</v>
      </c>
      <c r="G31" s="313">
        <f>SUMIFS(Adjustments!$G:$G,Adjustments!$H:$H,"2H",Adjustments!$I:$I,'Schedule 2H Adjustments'!$F$12,Adjustments!$J:$J,'Schedule 2H Adjustments'!$A31)</f>
        <v>0</v>
      </c>
      <c r="H31" s="309">
        <f t="shared" si="0"/>
        <v>0</v>
      </c>
      <c r="I31" s="68">
        <f>IFERROR(F31*'As-Filed Schedule 1'!$E$103,0)</f>
        <v>0</v>
      </c>
      <c r="J31" s="310">
        <f>IFERROR(H31*'Adjusted Schedule 1'!$E$104,0)</f>
        <v>0</v>
      </c>
      <c r="K31" s="68">
        <f t="shared" si="1"/>
        <v>0</v>
      </c>
      <c r="L31" s="310">
        <f t="shared" si="2"/>
        <v>0</v>
      </c>
      <c r="N31" s="117">
        <f>'As-Filed Schedule 2H'!J31</f>
        <v>0</v>
      </c>
      <c r="O31" s="313">
        <f>SUMIFS(Adjustments!$G:$G,Adjustments!$H:$H,"2H",Adjustments!$I:$I,'Schedule 2H Adjustments'!$N$12,Adjustments!$J:$J,'Schedule 2H Adjustments'!$A31)</f>
        <v>0</v>
      </c>
      <c r="P31" s="309">
        <f t="shared" si="3"/>
        <v>0</v>
      </c>
      <c r="Q31" s="68">
        <f>IFERROR(N31*'As-Filed Schedule 1'!$E$103,0)</f>
        <v>0</v>
      </c>
      <c r="R31" s="68">
        <f>IFERROR(P31*'Adjusted Schedule 1'!$E$104,0)</f>
        <v>0</v>
      </c>
      <c r="S31" s="68">
        <f t="shared" si="4"/>
        <v>0</v>
      </c>
      <c r="T31" s="310">
        <f t="shared" si="5"/>
        <v>0</v>
      </c>
      <c r="V31" s="120">
        <f>'As-Filed Schedule 2H'!N31</f>
        <v>0</v>
      </c>
      <c r="W31" s="313">
        <f>SUMIFS(Adjustments!$G:$G,Adjustments!$H:$H,"2H",Adjustments!$I:$I,'Schedule 2H Adjustments'!$V$12,Adjustments!$J:$J,'Schedule 2H Adjustments'!$A31)</f>
        <v>0</v>
      </c>
      <c r="X31" s="309">
        <f t="shared" si="6"/>
        <v>0</v>
      </c>
      <c r="Y31" s="120">
        <f>'As-Filed Schedule 2H'!O31</f>
        <v>0</v>
      </c>
      <c r="Z31" s="313">
        <f>SUMIFS(Adjustments!$G:$G,Adjustments!$H:$H,"2H",Adjustments!$I:$I,'Schedule 2H Adjustments'!$Y$12,Adjustments!$J:$J,'Schedule 2H Adjustments'!$A31)</f>
        <v>0</v>
      </c>
      <c r="AA31" s="309">
        <f t="shared" si="7"/>
        <v>0</v>
      </c>
    </row>
    <row r="32" spans="1:27" x14ac:dyDescent="0.35">
      <c r="A32" s="24">
        <v>18</v>
      </c>
      <c r="B32" s="507" t="str">
        <f>IF('As-Filed Schedule 2H'!B32:D32=0,"",'As-Filed Schedule 2H'!B32:D32)</f>
        <v/>
      </c>
      <c r="C32" s="507"/>
      <c r="D32" s="507"/>
      <c r="F32" s="117">
        <f>'As-Filed Schedule 2H'!F32</f>
        <v>0</v>
      </c>
      <c r="G32" s="313">
        <f>SUMIFS(Adjustments!$G:$G,Adjustments!$H:$H,"2H",Adjustments!$I:$I,'Schedule 2H Adjustments'!$F$12,Adjustments!$J:$J,'Schedule 2H Adjustments'!$A32)</f>
        <v>0</v>
      </c>
      <c r="H32" s="309">
        <f t="shared" si="0"/>
        <v>0</v>
      </c>
      <c r="I32" s="68">
        <f>IFERROR(F32*'As-Filed Schedule 1'!$E$103,0)</f>
        <v>0</v>
      </c>
      <c r="J32" s="310">
        <f>IFERROR(H32*'Adjusted Schedule 1'!$E$104,0)</f>
        <v>0</v>
      </c>
      <c r="K32" s="68">
        <f t="shared" si="1"/>
        <v>0</v>
      </c>
      <c r="L32" s="310">
        <f t="shared" si="2"/>
        <v>0</v>
      </c>
      <c r="N32" s="117">
        <f>'As-Filed Schedule 2H'!J32</f>
        <v>0</v>
      </c>
      <c r="O32" s="313">
        <f>SUMIFS(Adjustments!$G:$G,Adjustments!$H:$H,"2H",Adjustments!$I:$I,'Schedule 2H Adjustments'!$N$12,Adjustments!$J:$J,'Schedule 2H Adjustments'!$A32)</f>
        <v>0</v>
      </c>
      <c r="P32" s="309">
        <f t="shared" si="3"/>
        <v>0</v>
      </c>
      <c r="Q32" s="68">
        <f>IFERROR(N32*'As-Filed Schedule 1'!$E$103,0)</f>
        <v>0</v>
      </c>
      <c r="R32" s="68">
        <f>IFERROR(P32*'Adjusted Schedule 1'!$E$104,0)</f>
        <v>0</v>
      </c>
      <c r="S32" s="68">
        <f t="shared" si="4"/>
        <v>0</v>
      </c>
      <c r="T32" s="310">
        <f t="shared" si="5"/>
        <v>0</v>
      </c>
      <c r="V32" s="120">
        <f>'As-Filed Schedule 2H'!N32</f>
        <v>0</v>
      </c>
      <c r="W32" s="313">
        <f>SUMIFS(Adjustments!$G:$G,Adjustments!$H:$H,"2H",Adjustments!$I:$I,'Schedule 2H Adjustments'!$V$12,Adjustments!$J:$J,'Schedule 2H Adjustments'!$A32)</f>
        <v>0</v>
      </c>
      <c r="X32" s="309">
        <f t="shared" si="6"/>
        <v>0</v>
      </c>
      <c r="Y32" s="120">
        <f>'As-Filed Schedule 2H'!O32</f>
        <v>0</v>
      </c>
      <c r="Z32" s="313">
        <f>SUMIFS(Adjustments!$G:$G,Adjustments!$H:$H,"2H",Adjustments!$I:$I,'Schedule 2H Adjustments'!$Y$12,Adjustments!$J:$J,'Schedule 2H Adjustments'!$A32)</f>
        <v>0</v>
      </c>
      <c r="AA32" s="309">
        <f t="shared" si="7"/>
        <v>0</v>
      </c>
    </row>
    <row r="33" spans="1:27" x14ac:dyDescent="0.35">
      <c r="A33" s="24">
        <v>19</v>
      </c>
      <c r="B33" s="507" t="str">
        <f>IF('As-Filed Schedule 2H'!B33:D33=0,"",'As-Filed Schedule 2H'!B33:D33)</f>
        <v/>
      </c>
      <c r="C33" s="507"/>
      <c r="D33" s="507"/>
      <c r="F33" s="117">
        <f>'As-Filed Schedule 2H'!F33</f>
        <v>0</v>
      </c>
      <c r="G33" s="313">
        <f>SUMIFS(Adjustments!$G:$G,Adjustments!$H:$H,"2H",Adjustments!$I:$I,'Schedule 2H Adjustments'!$F$12,Adjustments!$J:$J,'Schedule 2H Adjustments'!$A33)</f>
        <v>0</v>
      </c>
      <c r="H33" s="309">
        <f t="shared" si="0"/>
        <v>0</v>
      </c>
      <c r="I33" s="68">
        <f>IFERROR(F33*'As-Filed Schedule 1'!$E$103,0)</f>
        <v>0</v>
      </c>
      <c r="J33" s="310">
        <f>IFERROR(H33*'Adjusted Schedule 1'!$E$104,0)</f>
        <v>0</v>
      </c>
      <c r="K33" s="68">
        <f t="shared" si="1"/>
        <v>0</v>
      </c>
      <c r="L33" s="310">
        <f t="shared" si="2"/>
        <v>0</v>
      </c>
      <c r="N33" s="117">
        <f>'As-Filed Schedule 2H'!J33</f>
        <v>0</v>
      </c>
      <c r="O33" s="313">
        <f>SUMIFS(Adjustments!$G:$G,Adjustments!$H:$H,"2H",Adjustments!$I:$I,'Schedule 2H Adjustments'!$N$12,Adjustments!$J:$J,'Schedule 2H Adjustments'!$A33)</f>
        <v>0</v>
      </c>
      <c r="P33" s="309">
        <f t="shared" si="3"/>
        <v>0</v>
      </c>
      <c r="Q33" s="68">
        <f>IFERROR(N33*'As-Filed Schedule 1'!$E$103,0)</f>
        <v>0</v>
      </c>
      <c r="R33" s="68">
        <f>IFERROR(P33*'Adjusted Schedule 1'!$E$104,0)</f>
        <v>0</v>
      </c>
      <c r="S33" s="68">
        <f t="shared" si="4"/>
        <v>0</v>
      </c>
      <c r="T33" s="310">
        <f t="shared" si="5"/>
        <v>0</v>
      </c>
      <c r="V33" s="120">
        <f>'As-Filed Schedule 2H'!N33</f>
        <v>0</v>
      </c>
      <c r="W33" s="313">
        <f>SUMIFS(Adjustments!$G:$G,Adjustments!$H:$H,"2H",Adjustments!$I:$I,'Schedule 2H Adjustments'!$V$12,Adjustments!$J:$J,'Schedule 2H Adjustments'!$A33)</f>
        <v>0</v>
      </c>
      <c r="X33" s="309">
        <f t="shared" si="6"/>
        <v>0</v>
      </c>
      <c r="Y33" s="120">
        <f>'As-Filed Schedule 2H'!O33</f>
        <v>0</v>
      </c>
      <c r="Z33" s="313">
        <f>SUMIFS(Adjustments!$G:$G,Adjustments!$H:$H,"2H",Adjustments!$I:$I,'Schedule 2H Adjustments'!$Y$12,Adjustments!$J:$J,'Schedule 2H Adjustments'!$A33)</f>
        <v>0</v>
      </c>
      <c r="AA33" s="309">
        <f t="shared" si="7"/>
        <v>0</v>
      </c>
    </row>
    <row r="34" spans="1:27" x14ac:dyDescent="0.35">
      <c r="A34" s="24">
        <v>20</v>
      </c>
      <c r="B34" s="507" t="str">
        <f>IF('As-Filed Schedule 2H'!B34:D34=0,"",'As-Filed Schedule 2H'!B34:D34)</f>
        <v/>
      </c>
      <c r="C34" s="507"/>
      <c r="D34" s="507"/>
      <c r="F34" s="117">
        <f>'As-Filed Schedule 2H'!F34</f>
        <v>0</v>
      </c>
      <c r="G34" s="313">
        <f>SUMIFS(Adjustments!$G:$G,Adjustments!$H:$H,"2H",Adjustments!$I:$I,'Schedule 2H Adjustments'!$F$12,Adjustments!$J:$J,'Schedule 2H Adjustments'!$A34)</f>
        <v>0</v>
      </c>
      <c r="H34" s="309">
        <f t="shared" si="0"/>
        <v>0</v>
      </c>
      <c r="I34" s="68">
        <f>IFERROR(F34*'As-Filed Schedule 1'!$E$103,0)</f>
        <v>0</v>
      </c>
      <c r="J34" s="310">
        <f>IFERROR(H34*'Adjusted Schedule 1'!$E$104,0)</f>
        <v>0</v>
      </c>
      <c r="K34" s="68">
        <f t="shared" si="1"/>
        <v>0</v>
      </c>
      <c r="L34" s="310">
        <f t="shared" si="2"/>
        <v>0</v>
      </c>
      <c r="N34" s="117">
        <f>'As-Filed Schedule 2H'!J34</f>
        <v>0</v>
      </c>
      <c r="O34" s="313">
        <f>SUMIFS(Adjustments!$G:$G,Adjustments!$H:$H,"2H",Adjustments!$I:$I,'Schedule 2H Adjustments'!$N$12,Adjustments!$J:$J,'Schedule 2H Adjustments'!$A34)</f>
        <v>0</v>
      </c>
      <c r="P34" s="309">
        <f t="shared" si="3"/>
        <v>0</v>
      </c>
      <c r="Q34" s="68">
        <f>IFERROR(N34*'As-Filed Schedule 1'!$E$103,0)</f>
        <v>0</v>
      </c>
      <c r="R34" s="68">
        <f>IFERROR(P34*'Adjusted Schedule 1'!$E$104,0)</f>
        <v>0</v>
      </c>
      <c r="S34" s="68">
        <f t="shared" si="4"/>
        <v>0</v>
      </c>
      <c r="T34" s="310">
        <f t="shared" si="5"/>
        <v>0</v>
      </c>
      <c r="V34" s="120">
        <f>'As-Filed Schedule 2H'!N34</f>
        <v>0</v>
      </c>
      <c r="W34" s="313">
        <f>SUMIFS(Adjustments!$G:$G,Adjustments!$H:$H,"2H",Adjustments!$I:$I,'Schedule 2H Adjustments'!$V$12,Adjustments!$J:$J,'Schedule 2H Adjustments'!$A34)</f>
        <v>0</v>
      </c>
      <c r="X34" s="309">
        <f t="shared" si="6"/>
        <v>0</v>
      </c>
      <c r="Y34" s="120">
        <f>'As-Filed Schedule 2H'!O34</f>
        <v>0</v>
      </c>
      <c r="Z34" s="313">
        <f>SUMIFS(Adjustments!$G:$G,Adjustments!$H:$H,"2H",Adjustments!$I:$I,'Schedule 2H Adjustments'!$Y$12,Adjustments!$J:$J,'Schedule 2H Adjustments'!$A34)</f>
        <v>0</v>
      </c>
      <c r="AA34" s="309">
        <f t="shared" si="7"/>
        <v>0</v>
      </c>
    </row>
    <row r="35" spans="1:27" x14ac:dyDescent="0.35">
      <c r="A35" s="24">
        <v>21</v>
      </c>
      <c r="B35" s="507" t="str">
        <f>IF('As-Filed Schedule 2H'!B35:D35=0,"",'As-Filed Schedule 2H'!B35:D35)</f>
        <v/>
      </c>
      <c r="C35" s="507"/>
      <c r="D35" s="507"/>
      <c r="F35" s="117">
        <f>'As-Filed Schedule 2H'!F35</f>
        <v>0</v>
      </c>
      <c r="G35" s="313">
        <f>SUMIFS(Adjustments!$G:$G,Adjustments!$H:$H,"2H",Adjustments!$I:$I,'Schedule 2H Adjustments'!$F$12,Adjustments!$J:$J,'Schedule 2H Adjustments'!$A35)</f>
        <v>0</v>
      </c>
      <c r="H35" s="309">
        <f t="shared" si="0"/>
        <v>0</v>
      </c>
      <c r="I35" s="68">
        <f>IFERROR(F35*'As-Filed Schedule 1'!$E$103,0)</f>
        <v>0</v>
      </c>
      <c r="J35" s="310">
        <f>IFERROR(H35*'Adjusted Schedule 1'!$E$104,0)</f>
        <v>0</v>
      </c>
      <c r="K35" s="68">
        <f t="shared" si="1"/>
        <v>0</v>
      </c>
      <c r="L35" s="310">
        <f t="shared" si="2"/>
        <v>0</v>
      </c>
      <c r="N35" s="117">
        <f>'As-Filed Schedule 2H'!J35</f>
        <v>0</v>
      </c>
      <c r="O35" s="313">
        <f>SUMIFS(Adjustments!$G:$G,Adjustments!$H:$H,"2H",Adjustments!$I:$I,'Schedule 2H Adjustments'!$N$12,Adjustments!$J:$J,'Schedule 2H Adjustments'!$A35)</f>
        <v>0</v>
      </c>
      <c r="P35" s="309">
        <f t="shared" si="3"/>
        <v>0</v>
      </c>
      <c r="Q35" s="68">
        <f>IFERROR(N35*'As-Filed Schedule 1'!$E$103,0)</f>
        <v>0</v>
      </c>
      <c r="R35" s="68">
        <f>IFERROR(P35*'Adjusted Schedule 1'!$E$104,0)</f>
        <v>0</v>
      </c>
      <c r="S35" s="68">
        <f t="shared" si="4"/>
        <v>0</v>
      </c>
      <c r="T35" s="310">
        <f t="shared" si="5"/>
        <v>0</v>
      </c>
      <c r="V35" s="120">
        <f>'As-Filed Schedule 2H'!N35</f>
        <v>0</v>
      </c>
      <c r="W35" s="313">
        <f>SUMIFS(Adjustments!$G:$G,Adjustments!$H:$H,"2H",Adjustments!$I:$I,'Schedule 2H Adjustments'!$V$12,Adjustments!$J:$J,'Schedule 2H Adjustments'!$A35)</f>
        <v>0</v>
      </c>
      <c r="X35" s="309">
        <f t="shared" si="6"/>
        <v>0</v>
      </c>
      <c r="Y35" s="120">
        <f>'As-Filed Schedule 2H'!O35</f>
        <v>0</v>
      </c>
      <c r="Z35" s="313">
        <f>SUMIFS(Adjustments!$G:$G,Adjustments!$H:$H,"2H",Adjustments!$I:$I,'Schedule 2H Adjustments'!$Y$12,Adjustments!$J:$J,'Schedule 2H Adjustments'!$A35)</f>
        <v>0</v>
      </c>
      <c r="AA35" s="309">
        <f t="shared" si="7"/>
        <v>0</v>
      </c>
    </row>
    <row r="36" spans="1:27" x14ac:dyDescent="0.35">
      <c r="A36" s="24">
        <v>22</v>
      </c>
      <c r="B36" s="507" t="str">
        <f>IF('As-Filed Schedule 2H'!B36:D36=0,"",'As-Filed Schedule 2H'!B36:D36)</f>
        <v/>
      </c>
      <c r="C36" s="507"/>
      <c r="D36" s="507"/>
      <c r="F36" s="117">
        <f>'As-Filed Schedule 2H'!F36</f>
        <v>0</v>
      </c>
      <c r="G36" s="313">
        <f>SUMIFS(Adjustments!$G:$G,Adjustments!$H:$H,"2H",Adjustments!$I:$I,'Schedule 2H Adjustments'!$F$12,Adjustments!$J:$J,'Schedule 2H Adjustments'!$A36)</f>
        <v>0</v>
      </c>
      <c r="H36" s="309">
        <f t="shared" si="0"/>
        <v>0</v>
      </c>
      <c r="I36" s="68">
        <f>IFERROR(F36*'As-Filed Schedule 1'!$E$103,0)</f>
        <v>0</v>
      </c>
      <c r="J36" s="310">
        <f>IFERROR(H36*'Adjusted Schedule 1'!$E$104,0)</f>
        <v>0</v>
      </c>
      <c r="K36" s="68">
        <f t="shared" si="1"/>
        <v>0</v>
      </c>
      <c r="L36" s="310">
        <f t="shared" si="2"/>
        <v>0</v>
      </c>
      <c r="N36" s="117">
        <f>'As-Filed Schedule 2H'!J36</f>
        <v>0</v>
      </c>
      <c r="O36" s="313">
        <f>SUMIFS(Adjustments!$G:$G,Adjustments!$H:$H,"2H",Adjustments!$I:$I,'Schedule 2H Adjustments'!$N$12,Adjustments!$J:$J,'Schedule 2H Adjustments'!$A36)</f>
        <v>0</v>
      </c>
      <c r="P36" s="309">
        <f t="shared" si="3"/>
        <v>0</v>
      </c>
      <c r="Q36" s="68">
        <f>IFERROR(N36*'As-Filed Schedule 1'!$E$103,0)</f>
        <v>0</v>
      </c>
      <c r="R36" s="68">
        <f>IFERROR(P36*'Adjusted Schedule 1'!$E$104,0)</f>
        <v>0</v>
      </c>
      <c r="S36" s="68">
        <f t="shared" si="4"/>
        <v>0</v>
      </c>
      <c r="T36" s="310">
        <f t="shared" si="5"/>
        <v>0</v>
      </c>
      <c r="V36" s="120">
        <f>'As-Filed Schedule 2H'!N36</f>
        <v>0</v>
      </c>
      <c r="W36" s="313">
        <f>SUMIFS(Adjustments!$G:$G,Adjustments!$H:$H,"2H",Adjustments!$I:$I,'Schedule 2H Adjustments'!$V$12,Adjustments!$J:$J,'Schedule 2H Adjustments'!$A36)</f>
        <v>0</v>
      </c>
      <c r="X36" s="309">
        <f t="shared" si="6"/>
        <v>0</v>
      </c>
      <c r="Y36" s="120">
        <f>'As-Filed Schedule 2H'!O36</f>
        <v>0</v>
      </c>
      <c r="Z36" s="313">
        <f>SUMIFS(Adjustments!$G:$G,Adjustments!$H:$H,"2H",Adjustments!$I:$I,'Schedule 2H Adjustments'!$Y$12,Adjustments!$J:$J,'Schedule 2H Adjustments'!$A36)</f>
        <v>0</v>
      </c>
      <c r="AA36" s="309">
        <f t="shared" si="7"/>
        <v>0</v>
      </c>
    </row>
    <row r="37" spans="1:27" x14ac:dyDescent="0.35">
      <c r="A37" s="24">
        <v>23</v>
      </c>
      <c r="B37" s="507" t="str">
        <f>IF('As-Filed Schedule 2H'!B37:D37=0,"",'As-Filed Schedule 2H'!B37:D37)</f>
        <v/>
      </c>
      <c r="C37" s="507"/>
      <c r="D37" s="507"/>
      <c r="F37" s="117">
        <f>'As-Filed Schedule 2H'!F37</f>
        <v>0</v>
      </c>
      <c r="G37" s="313">
        <f>SUMIFS(Adjustments!$G:$G,Adjustments!$H:$H,"2H",Adjustments!$I:$I,'Schedule 2H Adjustments'!$F$12,Adjustments!$J:$J,'Schedule 2H Adjustments'!$A37)</f>
        <v>0</v>
      </c>
      <c r="H37" s="309">
        <f t="shared" si="0"/>
        <v>0</v>
      </c>
      <c r="I37" s="68">
        <f>IFERROR(F37*'As-Filed Schedule 1'!$E$103,0)</f>
        <v>0</v>
      </c>
      <c r="J37" s="310">
        <f>IFERROR(H37*'Adjusted Schedule 1'!$E$104,0)</f>
        <v>0</v>
      </c>
      <c r="K37" s="68">
        <f t="shared" si="1"/>
        <v>0</v>
      </c>
      <c r="L37" s="310">
        <f t="shared" si="2"/>
        <v>0</v>
      </c>
      <c r="N37" s="117">
        <f>'As-Filed Schedule 2H'!J37</f>
        <v>0</v>
      </c>
      <c r="O37" s="313">
        <f>SUMIFS(Adjustments!$G:$G,Adjustments!$H:$H,"2H",Adjustments!$I:$I,'Schedule 2H Adjustments'!$N$12,Adjustments!$J:$J,'Schedule 2H Adjustments'!$A37)</f>
        <v>0</v>
      </c>
      <c r="P37" s="309">
        <f t="shared" si="3"/>
        <v>0</v>
      </c>
      <c r="Q37" s="68">
        <f>IFERROR(N37*'As-Filed Schedule 1'!$E$103,0)</f>
        <v>0</v>
      </c>
      <c r="R37" s="68">
        <f>IFERROR(P37*'Adjusted Schedule 1'!$E$104,0)</f>
        <v>0</v>
      </c>
      <c r="S37" s="68">
        <f t="shared" si="4"/>
        <v>0</v>
      </c>
      <c r="T37" s="310">
        <f t="shared" si="5"/>
        <v>0</v>
      </c>
      <c r="V37" s="120">
        <f>'As-Filed Schedule 2H'!N37</f>
        <v>0</v>
      </c>
      <c r="W37" s="313">
        <f>SUMIFS(Adjustments!$G:$G,Adjustments!$H:$H,"2H",Adjustments!$I:$I,'Schedule 2H Adjustments'!$V$12,Adjustments!$J:$J,'Schedule 2H Adjustments'!$A37)</f>
        <v>0</v>
      </c>
      <c r="X37" s="309">
        <f t="shared" si="6"/>
        <v>0</v>
      </c>
      <c r="Y37" s="120">
        <f>'As-Filed Schedule 2H'!O37</f>
        <v>0</v>
      </c>
      <c r="Z37" s="313">
        <f>SUMIFS(Adjustments!$G:$G,Adjustments!$H:$H,"2H",Adjustments!$I:$I,'Schedule 2H Adjustments'!$Y$12,Adjustments!$J:$J,'Schedule 2H Adjustments'!$A37)</f>
        <v>0</v>
      </c>
      <c r="AA37" s="309">
        <f t="shared" si="7"/>
        <v>0</v>
      </c>
    </row>
    <row r="38" spans="1:27" x14ac:dyDescent="0.35">
      <c r="A38" s="24">
        <v>24</v>
      </c>
      <c r="B38" s="507" t="str">
        <f>IF('As-Filed Schedule 2H'!B38:D38=0,"",'As-Filed Schedule 2H'!B38:D38)</f>
        <v/>
      </c>
      <c r="C38" s="507"/>
      <c r="D38" s="507"/>
      <c r="F38" s="117">
        <f>'As-Filed Schedule 2H'!F38</f>
        <v>0</v>
      </c>
      <c r="G38" s="313">
        <f>SUMIFS(Adjustments!$G:$G,Adjustments!$H:$H,"2H",Adjustments!$I:$I,'Schedule 2H Adjustments'!$F$12,Adjustments!$J:$J,'Schedule 2H Adjustments'!$A38)</f>
        <v>0</v>
      </c>
      <c r="H38" s="309">
        <f t="shared" si="0"/>
        <v>0</v>
      </c>
      <c r="I38" s="68">
        <f>IFERROR(F38*'As-Filed Schedule 1'!$E$103,0)</f>
        <v>0</v>
      </c>
      <c r="J38" s="310">
        <f>IFERROR(H38*'Adjusted Schedule 1'!$E$104,0)</f>
        <v>0</v>
      </c>
      <c r="K38" s="68">
        <f t="shared" si="1"/>
        <v>0</v>
      </c>
      <c r="L38" s="310">
        <f t="shared" si="2"/>
        <v>0</v>
      </c>
      <c r="N38" s="117">
        <f>'As-Filed Schedule 2H'!J38</f>
        <v>0</v>
      </c>
      <c r="O38" s="313">
        <f>SUMIFS(Adjustments!$G:$G,Adjustments!$H:$H,"2H",Adjustments!$I:$I,'Schedule 2H Adjustments'!$N$12,Adjustments!$J:$J,'Schedule 2H Adjustments'!$A38)</f>
        <v>0</v>
      </c>
      <c r="P38" s="309">
        <f t="shared" si="3"/>
        <v>0</v>
      </c>
      <c r="Q38" s="68">
        <f>IFERROR(N38*'As-Filed Schedule 1'!$E$103,0)</f>
        <v>0</v>
      </c>
      <c r="R38" s="68">
        <f>IFERROR(P38*'Adjusted Schedule 1'!$E$104,0)</f>
        <v>0</v>
      </c>
      <c r="S38" s="68">
        <f t="shared" si="4"/>
        <v>0</v>
      </c>
      <c r="T38" s="310">
        <f t="shared" si="5"/>
        <v>0</v>
      </c>
      <c r="V38" s="120">
        <f>'As-Filed Schedule 2H'!N38</f>
        <v>0</v>
      </c>
      <c r="W38" s="313">
        <f>SUMIFS(Adjustments!$G:$G,Adjustments!$H:$H,"2H",Adjustments!$I:$I,'Schedule 2H Adjustments'!$V$12,Adjustments!$J:$J,'Schedule 2H Adjustments'!$A38)</f>
        <v>0</v>
      </c>
      <c r="X38" s="309">
        <f t="shared" si="6"/>
        <v>0</v>
      </c>
      <c r="Y38" s="120">
        <f>'As-Filed Schedule 2H'!O38</f>
        <v>0</v>
      </c>
      <c r="Z38" s="313">
        <f>SUMIFS(Adjustments!$G:$G,Adjustments!$H:$H,"2H",Adjustments!$I:$I,'Schedule 2H Adjustments'!$Y$12,Adjustments!$J:$J,'Schedule 2H Adjustments'!$A38)</f>
        <v>0</v>
      </c>
      <c r="AA38" s="309">
        <f t="shared" si="7"/>
        <v>0</v>
      </c>
    </row>
    <row r="39" spans="1:27" x14ac:dyDescent="0.35">
      <c r="A39" s="24">
        <v>25</v>
      </c>
      <c r="B39" s="507" t="str">
        <f>IF('As-Filed Schedule 2H'!B39:D39=0,"",'As-Filed Schedule 2H'!B39:D39)</f>
        <v/>
      </c>
      <c r="C39" s="507"/>
      <c r="D39" s="507"/>
      <c r="F39" s="117">
        <f>'As-Filed Schedule 2H'!F39</f>
        <v>0</v>
      </c>
      <c r="G39" s="313">
        <f>SUMIFS(Adjustments!$G:$G,Adjustments!$H:$H,"2H",Adjustments!$I:$I,'Schedule 2H Adjustments'!$F$12,Adjustments!$J:$J,'Schedule 2H Adjustments'!$A39)</f>
        <v>0</v>
      </c>
      <c r="H39" s="309">
        <f t="shared" si="0"/>
        <v>0</v>
      </c>
      <c r="I39" s="68">
        <f>IFERROR(F39*'As-Filed Schedule 1'!$E$103,0)</f>
        <v>0</v>
      </c>
      <c r="J39" s="310">
        <f>IFERROR(H39*'Adjusted Schedule 1'!$E$104,0)</f>
        <v>0</v>
      </c>
      <c r="K39" s="68">
        <f t="shared" si="1"/>
        <v>0</v>
      </c>
      <c r="L39" s="310">
        <f t="shared" si="2"/>
        <v>0</v>
      </c>
      <c r="N39" s="117">
        <f>'As-Filed Schedule 2H'!J39</f>
        <v>0</v>
      </c>
      <c r="O39" s="313">
        <f>SUMIFS(Adjustments!$G:$G,Adjustments!$H:$H,"2H",Adjustments!$I:$I,'Schedule 2H Adjustments'!$N$12,Adjustments!$J:$J,'Schedule 2H Adjustments'!$A39)</f>
        <v>0</v>
      </c>
      <c r="P39" s="309">
        <f t="shared" si="3"/>
        <v>0</v>
      </c>
      <c r="Q39" s="68">
        <f>IFERROR(N39*'As-Filed Schedule 1'!$E$103,0)</f>
        <v>0</v>
      </c>
      <c r="R39" s="68">
        <f>IFERROR(P39*'Adjusted Schedule 1'!$E$104,0)</f>
        <v>0</v>
      </c>
      <c r="S39" s="68">
        <f t="shared" si="4"/>
        <v>0</v>
      </c>
      <c r="T39" s="310">
        <f t="shared" si="5"/>
        <v>0</v>
      </c>
      <c r="V39" s="120">
        <f>'As-Filed Schedule 2H'!N39</f>
        <v>0</v>
      </c>
      <c r="W39" s="313">
        <f>SUMIFS(Adjustments!$G:$G,Adjustments!$H:$H,"2H",Adjustments!$I:$I,'Schedule 2H Adjustments'!$V$12,Adjustments!$J:$J,'Schedule 2H Adjustments'!$A39)</f>
        <v>0</v>
      </c>
      <c r="X39" s="309">
        <f t="shared" si="6"/>
        <v>0</v>
      </c>
      <c r="Y39" s="120">
        <f>'As-Filed Schedule 2H'!O39</f>
        <v>0</v>
      </c>
      <c r="Z39" s="313">
        <f>SUMIFS(Adjustments!$G:$G,Adjustments!$H:$H,"2H",Adjustments!$I:$I,'Schedule 2H Adjustments'!$Y$12,Adjustments!$J:$J,'Schedule 2H Adjustments'!$A39)</f>
        <v>0</v>
      </c>
      <c r="AA39" s="309">
        <f t="shared" si="7"/>
        <v>0</v>
      </c>
    </row>
    <row r="40" spans="1:27" x14ac:dyDescent="0.35">
      <c r="A40" s="24">
        <v>26</v>
      </c>
      <c r="B40" s="507" t="str">
        <f>IF('As-Filed Schedule 2H'!B40:D40=0,"",'As-Filed Schedule 2H'!B40:D40)</f>
        <v/>
      </c>
      <c r="C40" s="507"/>
      <c r="D40" s="507"/>
      <c r="F40" s="117">
        <f>'As-Filed Schedule 2H'!F40</f>
        <v>0</v>
      </c>
      <c r="G40" s="313">
        <f>SUMIFS(Adjustments!$G:$G,Adjustments!$H:$H,"2H",Adjustments!$I:$I,'Schedule 2H Adjustments'!$F$12,Adjustments!$J:$J,'Schedule 2H Adjustments'!$A40)</f>
        <v>0</v>
      </c>
      <c r="H40" s="309">
        <f t="shared" si="0"/>
        <v>0</v>
      </c>
      <c r="I40" s="68">
        <f>IFERROR(F40*'As-Filed Schedule 1'!$E$103,0)</f>
        <v>0</v>
      </c>
      <c r="J40" s="310">
        <f>IFERROR(H40*'Adjusted Schedule 1'!$E$104,0)</f>
        <v>0</v>
      </c>
      <c r="K40" s="68">
        <f t="shared" si="1"/>
        <v>0</v>
      </c>
      <c r="L40" s="310">
        <f t="shared" si="2"/>
        <v>0</v>
      </c>
      <c r="N40" s="117">
        <f>'As-Filed Schedule 2H'!J40</f>
        <v>0</v>
      </c>
      <c r="O40" s="313">
        <f>SUMIFS(Adjustments!$G:$G,Adjustments!$H:$H,"2H",Adjustments!$I:$I,'Schedule 2H Adjustments'!$N$12,Adjustments!$J:$J,'Schedule 2H Adjustments'!$A40)</f>
        <v>0</v>
      </c>
      <c r="P40" s="309">
        <f t="shared" si="3"/>
        <v>0</v>
      </c>
      <c r="Q40" s="68">
        <f>IFERROR(N40*'As-Filed Schedule 1'!$E$103,0)</f>
        <v>0</v>
      </c>
      <c r="R40" s="68">
        <f>IFERROR(P40*'Adjusted Schedule 1'!$E$104,0)</f>
        <v>0</v>
      </c>
      <c r="S40" s="68">
        <f t="shared" si="4"/>
        <v>0</v>
      </c>
      <c r="T40" s="310">
        <f t="shared" si="5"/>
        <v>0</v>
      </c>
      <c r="V40" s="120">
        <f>'As-Filed Schedule 2H'!N40</f>
        <v>0</v>
      </c>
      <c r="W40" s="313">
        <f>SUMIFS(Adjustments!$G:$G,Adjustments!$H:$H,"2H",Adjustments!$I:$I,'Schedule 2H Adjustments'!$V$12,Adjustments!$J:$J,'Schedule 2H Adjustments'!$A40)</f>
        <v>0</v>
      </c>
      <c r="X40" s="309">
        <f t="shared" si="6"/>
        <v>0</v>
      </c>
      <c r="Y40" s="120">
        <f>'As-Filed Schedule 2H'!O40</f>
        <v>0</v>
      </c>
      <c r="Z40" s="313">
        <f>SUMIFS(Adjustments!$G:$G,Adjustments!$H:$H,"2H",Adjustments!$I:$I,'Schedule 2H Adjustments'!$Y$12,Adjustments!$J:$J,'Schedule 2H Adjustments'!$A40)</f>
        <v>0</v>
      </c>
      <c r="AA40" s="309">
        <f t="shared" si="7"/>
        <v>0</v>
      </c>
    </row>
    <row r="41" spans="1:27" x14ac:dyDescent="0.35">
      <c r="A41" s="24">
        <v>27</v>
      </c>
      <c r="B41" s="507" t="str">
        <f>IF('As-Filed Schedule 2H'!B41:D41=0,"",'As-Filed Schedule 2H'!B41:D41)</f>
        <v/>
      </c>
      <c r="C41" s="507"/>
      <c r="D41" s="507"/>
      <c r="F41" s="117">
        <f>'As-Filed Schedule 2H'!F41</f>
        <v>0</v>
      </c>
      <c r="G41" s="313">
        <f>SUMIFS(Adjustments!$G:$G,Adjustments!$H:$H,"2H",Adjustments!$I:$I,'Schedule 2H Adjustments'!$F$12,Adjustments!$J:$J,'Schedule 2H Adjustments'!$A41)</f>
        <v>0</v>
      </c>
      <c r="H41" s="309">
        <f t="shared" si="0"/>
        <v>0</v>
      </c>
      <c r="I41" s="68">
        <f>IFERROR(F41*'As-Filed Schedule 1'!$E$103,0)</f>
        <v>0</v>
      </c>
      <c r="J41" s="310">
        <f>IFERROR(H41*'Adjusted Schedule 1'!$E$104,0)</f>
        <v>0</v>
      </c>
      <c r="K41" s="68">
        <f t="shared" si="1"/>
        <v>0</v>
      </c>
      <c r="L41" s="310">
        <f t="shared" si="2"/>
        <v>0</v>
      </c>
      <c r="N41" s="117">
        <f>'As-Filed Schedule 2H'!J41</f>
        <v>0</v>
      </c>
      <c r="O41" s="313">
        <f>SUMIFS(Adjustments!$G:$G,Adjustments!$H:$H,"2H",Adjustments!$I:$I,'Schedule 2H Adjustments'!$N$12,Adjustments!$J:$J,'Schedule 2H Adjustments'!$A41)</f>
        <v>0</v>
      </c>
      <c r="P41" s="309">
        <f t="shared" si="3"/>
        <v>0</v>
      </c>
      <c r="Q41" s="68">
        <f>IFERROR(N41*'As-Filed Schedule 1'!$E$103,0)</f>
        <v>0</v>
      </c>
      <c r="R41" s="68">
        <f>IFERROR(P41*'Adjusted Schedule 1'!$E$104,0)</f>
        <v>0</v>
      </c>
      <c r="S41" s="68">
        <f t="shared" si="4"/>
        <v>0</v>
      </c>
      <c r="T41" s="310">
        <f t="shared" si="5"/>
        <v>0</v>
      </c>
      <c r="V41" s="120">
        <f>'As-Filed Schedule 2H'!N41</f>
        <v>0</v>
      </c>
      <c r="W41" s="313">
        <f>SUMIFS(Adjustments!$G:$G,Adjustments!$H:$H,"2H",Adjustments!$I:$I,'Schedule 2H Adjustments'!$V$12,Adjustments!$J:$J,'Schedule 2H Adjustments'!$A41)</f>
        <v>0</v>
      </c>
      <c r="X41" s="309">
        <f t="shared" si="6"/>
        <v>0</v>
      </c>
      <c r="Y41" s="120">
        <f>'As-Filed Schedule 2H'!O41</f>
        <v>0</v>
      </c>
      <c r="Z41" s="313">
        <f>SUMIFS(Adjustments!$G:$G,Adjustments!$H:$H,"2H",Adjustments!$I:$I,'Schedule 2H Adjustments'!$Y$12,Adjustments!$J:$J,'Schedule 2H Adjustments'!$A41)</f>
        <v>0</v>
      </c>
      <c r="AA41" s="309">
        <f t="shared" si="7"/>
        <v>0</v>
      </c>
    </row>
    <row r="42" spans="1:27" x14ac:dyDescent="0.35">
      <c r="A42" s="24">
        <v>28</v>
      </c>
      <c r="B42" s="507" t="str">
        <f>IF('As-Filed Schedule 2H'!B42:D42=0,"",'As-Filed Schedule 2H'!B42:D42)</f>
        <v/>
      </c>
      <c r="C42" s="507"/>
      <c r="D42" s="507"/>
      <c r="F42" s="117">
        <f>'As-Filed Schedule 2H'!F42</f>
        <v>0</v>
      </c>
      <c r="G42" s="313">
        <f>SUMIFS(Adjustments!$G:$G,Adjustments!$H:$H,"2H",Adjustments!$I:$I,'Schedule 2H Adjustments'!$F$12,Adjustments!$J:$J,'Schedule 2H Adjustments'!$A42)</f>
        <v>0</v>
      </c>
      <c r="H42" s="309">
        <f t="shared" si="0"/>
        <v>0</v>
      </c>
      <c r="I42" s="68">
        <f>IFERROR(F42*'As-Filed Schedule 1'!$E$103,0)</f>
        <v>0</v>
      </c>
      <c r="J42" s="310">
        <f>IFERROR(H42*'Adjusted Schedule 1'!$E$104,0)</f>
        <v>0</v>
      </c>
      <c r="K42" s="68">
        <f t="shared" si="1"/>
        <v>0</v>
      </c>
      <c r="L42" s="310">
        <f t="shared" si="2"/>
        <v>0</v>
      </c>
      <c r="N42" s="117">
        <f>'As-Filed Schedule 2H'!J42</f>
        <v>0</v>
      </c>
      <c r="O42" s="313">
        <f>SUMIFS(Adjustments!$G:$G,Adjustments!$H:$H,"2H",Adjustments!$I:$I,'Schedule 2H Adjustments'!$N$12,Adjustments!$J:$J,'Schedule 2H Adjustments'!$A42)</f>
        <v>0</v>
      </c>
      <c r="P42" s="309">
        <f t="shared" si="3"/>
        <v>0</v>
      </c>
      <c r="Q42" s="68">
        <f>IFERROR(N42*'As-Filed Schedule 1'!$E$103,0)</f>
        <v>0</v>
      </c>
      <c r="R42" s="68">
        <f>IFERROR(P42*'Adjusted Schedule 1'!$E$104,0)</f>
        <v>0</v>
      </c>
      <c r="S42" s="68">
        <f t="shared" si="4"/>
        <v>0</v>
      </c>
      <c r="T42" s="310">
        <f t="shared" si="5"/>
        <v>0</v>
      </c>
      <c r="V42" s="120">
        <f>'As-Filed Schedule 2H'!N42</f>
        <v>0</v>
      </c>
      <c r="W42" s="313">
        <f>SUMIFS(Adjustments!$G:$G,Adjustments!$H:$H,"2H",Adjustments!$I:$I,'Schedule 2H Adjustments'!$V$12,Adjustments!$J:$J,'Schedule 2H Adjustments'!$A42)</f>
        <v>0</v>
      </c>
      <c r="X42" s="309">
        <f t="shared" si="6"/>
        <v>0</v>
      </c>
      <c r="Y42" s="120">
        <f>'As-Filed Schedule 2H'!O42</f>
        <v>0</v>
      </c>
      <c r="Z42" s="313">
        <f>SUMIFS(Adjustments!$G:$G,Adjustments!$H:$H,"2H",Adjustments!$I:$I,'Schedule 2H Adjustments'!$Y$12,Adjustments!$J:$J,'Schedule 2H Adjustments'!$A42)</f>
        <v>0</v>
      </c>
      <c r="AA42" s="309">
        <f t="shared" si="7"/>
        <v>0</v>
      </c>
    </row>
    <row r="43" spans="1:27" x14ac:dyDescent="0.35">
      <c r="A43" s="24">
        <v>29</v>
      </c>
      <c r="B43" s="507" t="str">
        <f>IF('As-Filed Schedule 2H'!B43:D43=0,"",'As-Filed Schedule 2H'!B43:D43)</f>
        <v/>
      </c>
      <c r="C43" s="507"/>
      <c r="D43" s="507"/>
      <c r="F43" s="117">
        <f>'As-Filed Schedule 2H'!F43</f>
        <v>0</v>
      </c>
      <c r="G43" s="313">
        <f>SUMIFS(Adjustments!$G:$G,Adjustments!$H:$H,"2H",Adjustments!$I:$I,'Schedule 2H Adjustments'!$F$12,Adjustments!$J:$J,'Schedule 2H Adjustments'!$A43)</f>
        <v>0</v>
      </c>
      <c r="H43" s="309">
        <f t="shared" si="0"/>
        <v>0</v>
      </c>
      <c r="I43" s="68">
        <f>IFERROR(F43*'As-Filed Schedule 1'!$E$103,0)</f>
        <v>0</v>
      </c>
      <c r="J43" s="310">
        <f>IFERROR(H43*'Adjusted Schedule 1'!$E$104,0)</f>
        <v>0</v>
      </c>
      <c r="K43" s="68">
        <f t="shared" si="1"/>
        <v>0</v>
      </c>
      <c r="L43" s="310">
        <f t="shared" si="2"/>
        <v>0</v>
      </c>
      <c r="N43" s="117">
        <f>'As-Filed Schedule 2H'!J43</f>
        <v>0</v>
      </c>
      <c r="O43" s="313">
        <f>SUMIFS(Adjustments!$G:$G,Adjustments!$H:$H,"2H",Adjustments!$I:$I,'Schedule 2H Adjustments'!$N$12,Adjustments!$J:$J,'Schedule 2H Adjustments'!$A43)</f>
        <v>0</v>
      </c>
      <c r="P43" s="309">
        <f t="shared" si="3"/>
        <v>0</v>
      </c>
      <c r="Q43" s="68">
        <f>IFERROR(N43*'As-Filed Schedule 1'!$E$103,0)</f>
        <v>0</v>
      </c>
      <c r="R43" s="68">
        <f>IFERROR(P43*'Adjusted Schedule 1'!$E$104,0)</f>
        <v>0</v>
      </c>
      <c r="S43" s="68">
        <f t="shared" si="4"/>
        <v>0</v>
      </c>
      <c r="T43" s="310">
        <f t="shared" si="5"/>
        <v>0</v>
      </c>
      <c r="V43" s="120">
        <f>'As-Filed Schedule 2H'!N43</f>
        <v>0</v>
      </c>
      <c r="W43" s="313">
        <f>SUMIFS(Adjustments!$G:$G,Adjustments!$H:$H,"2H",Adjustments!$I:$I,'Schedule 2H Adjustments'!$V$12,Adjustments!$J:$J,'Schedule 2H Adjustments'!$A43)</f>
        <v>0</v>
      </c>
      <c r="X43" s="309">
        <f t="shared" si="6"/>
        <v>0</v>
      </c>
      <c r="Y43" s="120">
        <f>'As-Filed Schedule 2H'!O43</f>
        <v>0</v>
      </c>
      <c r="Z43" s="313">
        <f>SUMIFS(Adjustments!$G:$G,Adjustments!$H:$H,"2H",Adjustments!$I:$I,'Schedule 2H Adjustments'!$Y$12,Adjustments!$J:$J,'Schedule 2H Adjustments'!$A43)</f>
        <v>0</v>
      </c>
      <c r="AA43" s="309">
        <f t="shared" si="7"/>
        <v>0</v>
      </c>
    </row>
    <row r="44" spans="1:27" x14ac:dyDescent="0.35">
      <c r="A44" s="24">
        <v>30</v>
      </c>
      <c r="B44" s="507" t="str">
        <f>IF('As-Filed Schedule 2H'!B44:D44=0,"",'As-Filed Schedule 2H'!B44:D44)</f>
        <v/>
      </c>
      <c r="C44" s="507"/>
      <c r="D44" s="507"/>
      <c r="F44" s="117">
        <f>'As-Filed Schedule 2H'!F44</f>
        <v>0</v>
      </c>
      <c r="G44" s="313">
        <f>SUMIFS(Adjustments!$G:$G,Adjustments!$H:$H,"2H",Adjustments!$I:$I,'Schedule 2H Adjustments'!$F$12,Adjustments!$J:$J,'Schedule 2H Adjustments'!$A44)</f>
        <v>0</v>
      </c>
      <c r="H44" s="309">
        <f t="shared" si="0"/>
        <v>0</v>
      </c>
      <c r="I44" s="68">
        <f>IFERROR(F44*'As-Filed Schedule 1'!$E$103,0)</f>
        <v>0</v>
      </c>
      <c r="J44" s="310">
        <f>IFERROR(H44*'Adjusted Schedule 1'!$E$104,0)</f>
        <v>0</v>
      </c>
      <c r="K44" s="68">
        <f t="shared" si="1"/>
        <v>0</v>
      </c>
      <c r="L44" s="310">
        <f t="shared" si="2"/>
        <v>0</v>
      </c>
      <c r="N44" s="117">
        <f>'As-Filed Schedule 2H'!J44</f>
        <v>0</v>
      </c>
      <c r="O44" s="313">
        <f>SUMIFS(Adjustments!$G:$G,Adjustments!$H:$H,"2H",Adjustments!$I:$I,'Schedule 2H Adjustments'!$N$12,Adjustments!$J:$J,'Schedule 2H Adjustments'!$A44)</f>
        <v>0</v>
      </c>
      <c r="P44" s="309">
        <f t="shared" si="3"/>
        <v>0</v>
      </c>
      <c r="Q44" s="68">
        <f>IFERROR(N44*'As-Filed Schedule 1'!$E$103,0)</f>
        <v>0</v>
      </c>
      <c r="R44" s="68">
        <f>IFERROR(P44*'Adjusted Schedule 1'!$E$104,0)</f>
        <v>0</v>
      </c>
      <c r="S44" s="68">
        <f t="shared" si="4"/>
        <v>0</v>
      </c>
      <c r="T44" s="310">
        <f t="shared" si="5"/>
        <v>0</v>
      </c>
      <c r="V44" s="120">
        <f>'As-Filed Schedule 2H'!N44</f>
        <v>0</v>
      </c>
      <c r="W44" s="313">
        <f>SUMIFS(Adjustments!$G:$G,Adjustments!$H:$H,"2H",Adjustments!$I:$I,'Schedule 2H Adjustments'!$V$12,Adjustments!$J:$J,'Schedule 2H Adjustments'!$A44)</f>
        <v>0</v>
      </c>
      <c r="X44" s="309">
        <f t="shared" si="6"/>
        <v>0</v>
      </c>
      <c r="Y44" s="120">
        <f>'As-Filed Schedule 2H'!O44</f>
        <v>0</v>
      </c>
      <c r="Z44" s="313">
        <f>SUMIFS(Adjustments!$G:$G,Adjustments!$H:$H,"2H",Adjustments!$I:$I,'Schedule 2H Adjustments'!$Y$12,Adjustments!$J:$J,'Schedule 2H Adjustments'!$A44)</f>
        <v>0</v>
      </c>
      <c r="AA44" s="309">
        <f t="shared" si="7"/>
        <v>0</v>
      </c>
    </row>
    <row r="45" spans="1:27" x14ac:dyDescent="0.35">
      <c r="A45" s="24">
        <v>31</v>
      </c>
      <c r="B45" s="507" t="str">
        <f>IF('As-Filed Schedule 2H'!B45:D45=0,"",'As-Filed Schedule 2H'!B45:D45)</f>
        <v/>
      </c>
      <c r="C45" s="507"/>
      <c r="D45" s="507"/>
      <c r="F45" s="117">
        <f>'As-Filed Schedule 2H'!F45</f>
        <v>0</v>
      </c>
      <c r="G45" s="313">
        <f>SUMIFS(Adjustments!$G:$G,Adjustments!$H:$H,"2H",Adjustments!$I:$I,'Schedule 2H Adjustments'!$F$12,Adjustments!$J:$J,'Schedule 2H Adjustments'!$A45)</f>
        <v>0</v>
      </c>
      <c r="H45" s="309">
        <f t="shared" si="0"/>
        <v>0</v>
      </c>
      <c r="I45" s="68">
        <f>IFERROR(F45*'As-Filed Schedule 1'!$E$103,0)</f>
        <v>0</v>
      </c>
      <c r="J45" s="310">
        <f>IFERROR(H45*'Adjusted Schedule 1'!$E$104,0)</f>
        <v>0</v>
      </c>
      <c r="K45" s="68">
        <f t="shared" si="1"/>
        <v>0</v>
      </c>
      <c r="L45" s="310">
        <f t="shared" si="2"/>
        <v>0</v>
      </c>
      <c r="N45" s="117">
        <f>'As-Filed Schedule 2H'!J45</f>
        <v>0</v>
      </c>
      <c r="O45" s="313">
        <f>SUMIFS(Adjustments!$G:$G,Adjustments!$H:$H,"2H",Adjustments!$I:$I,'Schedule 2H Adjustments'!$N$12,Adjustments!$J:$J,'Schedule 2H Adjustments'!$A45)</f>
        <v>0</v>
      </c>
      <c r="P45" s="309">
        <f t="shared" si="3"/>
        <v>0</v>
      </c>
      <c r="Q45" s="68">
        <f>IFERROR(N45*'As-Filed Schedule 1'!$E$103,0)</f>
        <v>0</v>
      </c>
      <c r="R45" s="68">
        <f>IFERROR(P45*'Adjusted Schedule 1'!$E$104,0)</f>
        <v>0</v>
      </c>
      <c r="S45" s="68">
        <f t="shared" si="4"/>
        <v>0</v>
      </c>
      <c r="T45" s="310">
        <f t="shared" si="5"/>
        <v>0</v>
      </c>
      <c r="V45" s="120">
        <f>'As-Filed Schedule 2H'!N45</f>
        <v>0</v>
      </c>
      <c r="W45" s="313">
        <f>SUMIFS(Adjustments!$G:$G,Adjustments!$H:$H,"2H",Adjustments!$I:$I,'Schedule 2H Adjustments'!$V$12,Adjustments!$J:$J,'Schedule 2H Adjustments'!$A45)</f>
        <v>0</v>
      </c>
      <c r="X45" s="309">
        <f t="shared" si="6"/>
        <v>0</v>
      </c>
      <c r="Y45" s="120">
        <f>'As-Filed Schedule 2H'!O45</f>
        <v>0</v>
      </c>
      <c r="Z45" s="313">
        <f>SUMIFS(Adjustments!$G:$G,Adjustments!$H:$H,"2H",Adjustments!$I:$I,'Schedule 2H Adjustments'!$Y$12,Adjustments!$J:$J,'Schedule 2H Adjustments'!$A45)</f>
        <v>0</v>
      </c>
      <c r="AA45" s="309">
        <f t="shared" si="7"/>
        <v>0</v>
      </c>
    </row>
    <row r="46" spans="1:27" x14ac:dyDescent="0.35">
      <c r="A46" s="24">
        <v>32</v>
      </c>
      <c r="B46" s="507" t="str">
        <f>IF('As-Filed Schedule 2H'!B46:D46=0,"",'As-Filed Schedule 2H'!B46:D46)</f>
        <v/>
      </c>
      <c r="C46" s="507"/>
      <c r="D46" s="507"/>
      <c r="F46" s="117">
        <f>'As-Filed Schedule 2H'!F46</f>
        <v>0</v>
      </c>
      <c r="G46" s="313">
        <f>SUMIFS(Adjustments!$G:$G,Adjustments!$H:$H,"2H",Adjustments!$I:$I,'Schedule 2H Adjustments'!$F$12,Adjustments!$J:$J,'Schedule 2H Adjustments'!$A46)</f>
        <v>0</v>
      </c>
      <c r="H46" s="309">
        <f t="shared" si="0"/>
        <v>0</v>
      </c>
      <c r="I46" s="68">
        <f>IFERROR(F46*'As-Filed Schedule 1'!$E$103,0)</f>
        <v>0</v>
      </c>
      <c r="J46" s="310">
        <f>IFERROR(H46*'Adjusted Schedule 1'!$E$104,0)</f>
        <v>0</v>
      </c>
      <c r="K46" s="68">
        <f t="shared" si="1"/>
        <v>0</v>
      </c>
      <c r="L46" s="310">
        <f t="shared" si="2"/>
        <v>0</v>
      </c>
      <c r="N46" s="117">
        <f>'As-Filed Schedule 2H'!J46</f>
        <v>0</v>
      </c>
      <c r="O46" s="313">
        <f>SUMIFS(Adjustments!$G:$G,Adjustments!$H:$H,"2H",Adjustments!$I:$I,'Schedule 2H Adjustments'!$N$12,Adjustments!$J:$J,'Schedule 2H Adjustments'!$A46)</f>
        <v>0</v>
      </c>
      <c r="P46" s="309">
        <f t="shared" si="3"/>
        <v>0</v>
      </c>
      <c r="Q46" s="68">
        <f>IFERROR(N46*'As-Filed Schedule 1'!$E$103,0)</f>
        <v>0</v>
      </c>
      <c r="R46" s="68">
        <f>IFERROR(P46*'Adjusted Schedule 1'!$E$104,0)</f>
        <v>0</v>
      </c>
      <c r="S46" s="68">
        <f t="shared" si="4"/>
        <v>0</v>
      </c>
      <c r="T46" s="310">
        <f t="shared" si="5"/>
        <v>0</v>
      </c>
      <c r="V46" s="120">
        <f>'As-Filed Schedule 2H'!N46</f>
        <v>0</v>
      </c>
      <c r="W46" s="313">
        <f>SUMIFS(Adjustments!$G:$G,Adjustments!$H:$H,"2H",Adjustments!$I:$I,'Schedule 2H Adjustments'!$V$12,Adjustments!$J:$J,'Schedule 2H Adjustments'!$A46)</f>
        <v>0</v>
      </c>
      <c r="X46" s="309">
        <f t="shared" si="6"/>
        <v>0</v>
      </c>
      <c r="Y46" s="120">
        <f>'As-Filed Schedule 2H'!O46</f>
        <v>0</v>
      </c>
      <c r="Z46" s="313">
        <f>SUMIFS(Adjustments!$G:$G,Adjustments!$H:$H,"2H",Adjustments!$I:$I,'Schedule 2H Adjustments'!$Y$12,Adjustments!$J:$J,'Schedule 2H Adjustments'!$A46)</f>
        <v>0</v>
      </c>
      <c r="AA46" s="309">
        <f t="shared" si="7"/>
        <v>0</v>
      </c>
    </row>
    <row r="47" spans="1:27" x14ac:dyDescent="0.35">
      <c r="A47" s="24">
        <v>33</v>
      </c>
      <c r="B47" s="507" t="str">
        <f>IF('As-Filed Schedule 2H'!B47:D47=0,"",'As-Filed Schedule 2H'!B47:D47)</f>
        <v/>
      </c>
      <c r="C47" s="507"/>
      <c r="D47" s="507"/>
      <c r="F47" s="117">
        <f>'As-Filed Schedule 2H'!F47</f>
        <v>0</v>
      </c>
      <c r="G47" s="313">
        <f>SUMIFS(Adjustments!$G:$G,Adjustments!$H:$H,"2H",Adjustments!$I:$I,'Schedule 2H Adjustments'!$F$12,Adjustments!$J:$J,'Schedule 2H Adjustments'!$A47)</f>
        <v>0</v>
      </c>
      <c r="H47" s="309">
        <f t="shared" si="0"/>
        <v>0</v>
      </c>
      <c r="I47" s="68">
        <f>IFERROR(F47*'As-Filed Schedule 1'!$E$103,0)</f>
        <v>0</v>
      </c>
      <c r="J47" s="310">
        <f>IFERROR(H47*'Adjusted Schedule 1'!$E$104,0)</f>
        <v>0</v>
      </c>
      <c r="K47" s="68">
        <f t="shared" si="1"/>
        <v>0</v>
      </c>
      <c r="L47" s="310">
        <f t="shared" si="2"/>
        <v>0</v>
      </c>
      <c r="N47" s="117">
        <f>'As-Filed Schedule 2H'!J47</f>
        <v>0</v>
      </c>
      <c r="O47" s="313">
        <f>SUMIFS(Adjustments!$G:$G,Adjustments!$H:$H,"2H",Adjustments!$I:$I,'Schedule 2H Adjustments'!$N$12,Adjustments!$J:$J,'Schedule 2H Adjustments'!$A47)</f>
        <v>0</v>
      </c>
      <c r="P47" s="309">
        <f t="shared" si="3"/>
        <v>0</v>
      </c>
      <c r="Q47" s="68">
        <f>IFERROR(N47*'As-Filed Schedule 1'!$E$103,0)</f>
        <v>0</v>
      </c>
      <c r="R47" s="68">
        <f>IFERROR(P47*'Adjusted Schedule 1'!$E$104,0)</f>
        <v>0</v>
      </c>
      <c r="S47" s="68">
        <f t="shared" si="4"/>
        <v>0</v>
      </c>
      <c r="T47" s="310">
        <f t="shared" si="5"/>
        <v>0</v>
      </c>
      <c r="V47" s="120">
        <f>'As-Filed Schedule 2H'!N47</f>
        <v>0</v>
      </c>
      <c r="W47" s="313">
        <f>SUMIFS(Adjustments!$G:$G,Adjustments!$H:$H,"2H",Adjustments!$I:$I,'Schedule 2H Adjustments'!$V$12,Adjustments!$J:$J,'Schedule 2H Adjustments'!$A47)</f>
        <v>0</v>
      </c>
      <c r="X47" s="309">
        <f t="shared" si="6"/>
        <v>0</v>
      </c>
      <c r="Y47" s="120">
        <f>'As-Filed Schedule 2H'!O47</f>
        <v>0</v>
      </c>
      <c r="Z47" s="313">
        <f>SUMIFS(Adjustments!$G:$G,Adjustments!$H:$H,"2H",Adjustments!$I:$I,'Schedule 2H Adjustments'!$Y$12,Adjustments!$J:$J,'Schedule 2H Adjustments'!$A47)</f>
        <v>0</v>
      </c>
      <c r="AA47" s="309">
        <f t="shared" si="7"/>
        <v>0</v>
      </c>
    </row>
    <row r="48" spans="1:27" x14ac:dyDescent="0.35">
      <c r="A48" s="24">
        <v>34</v>
      </c>
      <c r="B48" s="507" t="str">
        <f>IF('As-Filed Schedule 2H'!B48:D48=0,"",'As-Filed Schedule 2H'!B48:D48)</f>
        <v/>
      </c>
      <c r="C48" s="507"/>
      <c r="D48" s="507"/>
      <c r="F48" s="117">
        <f>'As-Filed Schedule 2H'!F48</f>
        <v>0</v>
      </c>
      <c r="G48" s="313">
        <f>SUMIFS(Adjustments!$G:$G,Adjustments!$H:$H,"2H",Adjustments!$I:$I,'Schedule 2H Adjustments'!$F$12,Adjustments!$J:$J,'Schedule 2H Adjustments'!$A48)</f>
        <v>0</v>
      </c>
      <c r="H48" s="309">
        <f t="shared" si="0"/>
        <v>0</v>
      </c>
      <c r="I48" s="68">
        <f>IFERROR(F48*'As-Filed Schedule 1'!$E$103,0)</f>
        <v>0</v>
      </c>
      <c r="J48" s="310">
        <f>IFERROR(H48*'Adjusted Schedule 1'!$E$104,0)</f>
        <v>0</v>
      </c>
      <c r="K48" s="68">
        <f t="shared" si="1"/>
        <v>0</v>
      </c>
      <c r="L48" s="310">
        <f t="shared" si="2"/>
        <v>0</v>
      </c>
      <c r="N48" s="117">
        <f>'As-Filed Schedule 2H'!J48</f>
        <v>0</v>
      </c>
      <c r="O48" s="313">
        <f>SUMIFS(Adjustments!$G:$G,Adjustments!$H:$H,"2H",Adjustments!$I:$I,'Schedule 2H Adjustments'!$N$12,Adjustments!$J:$J,'Schedule 2H Adjustments'!$A48)</f>
        <v>0</v>
      </c>
      <c r="P48" s="309">
        <f t="shared" si="3"/>
        <v>0</v>
      </c>
      <c r="Q48" s="68">
        <f>IFERROR(N48*'As-Filed Schedule 1'!$E$103,0)</f>
        <v>0</v>
      </c>
      <c r="R48" s="68">
        <f>IFERROR(P48*'Adjusted Schedule 1'!$E$104,0)</f>
        <v>0</v>
      </c>
      <c r="S48" s="68">
        <f t="shared" si="4"/>
        <v>0</v>
      </c>
      <c r="T48" s="310">
        <f t="shared" si="5"/>
        <v>0</v>
      </c>
      <c r="V48" s="120">
        <f>'As-Filed Schedule 2H'!N48</f>
        <v>0</v>
      </c>
      <c r="W48" s="313">
        <f>SUMIFS(Adjustments!$G:$G,Adjustments!$H:$H,"2H",Adjustments!$I:$I,'Schedule 2H Adjustments'!$V$12,Adjustments!$J:$J,'Schedule 2H Adjustments'!$A48)</f>
        <v>0</v>
      </c>
      <c r="X48" s="309">
        <f t="shared" si="6"/>
        <v>0</v>
      </c>
      <c r="Y48" s="120">
        <f>'As-Filed Schedule 2H'!O48</f>
        <v>0</v>
      </c>
      <c r="Z48" s="313">
        <f>SUMIFS(Adjustments!$G:$G,Adjustments!$H:$H,"2H",Adjustments!$I:$I,'Schedule 2H Adjustments'!$Y$12,Adjustments!$J:$J,'Schedule 2H Adjustments'!$A48)</f>
        <v>0</v>
      </c>
      <c r="AA48" s="309">
        <f t="shared" si="7"/>
        <v>0</v>
      </c>
    </row>
    <row r="49" spans="1:27" x14ac:dyDescent="0.35">
      <c r="A49" s="24">
        <v>35</v>
      </c>
      <c r="B49" s="507" t="str">
        <f>IF('As-Filed Schedule 2H'!B49:D49=0,"",'As-Filed Schedule 2H'!B49:D49)</f>
        <v/>
      </c>
      <c r="C49" s="507"/>
      <c r="D49" s="507"/>
      <c r="F49" s="117">
        <f>'As-Filed Schedule 2H'!F49</f>
        <v>0</v>
      </c>
      <c r="G49" s="313">
        <f>SUMIFS(Adjustments!$G:$G,Adjustments!$H:$H,"2H",Adjustments!$I:$I,'Schedule 2H Adjustments'!$F$12,Adjustments!$J:$J,'Schedule 2H Adjustments'!$A49)</f>
        <v>0</v>
      </c>
      <c r="H49" s="309">
        <f t="shared" si="0"/>
        <v>0</v>
      </c>
      <c r="I49" s="68">
        <f>IFERROR(F49*'As-Filed Schedule 1'!$E$103,0)</f>
        <v>0</v>
      </c>
      <c r="J49" s="310">
        <f>IFERROR(H49*'Adjusted Schedule 1'!$E$104,0)</f>
        <v>0</v>
      </c>
      <c r="K49" s="68">
        <f t="shared" si="1"/>
        <v>0</v>
      </c>
      <c r="L49" s="310">
        <f t="shared" si="2"/>
        <v>0</v>
      </c>
      <c r="N49" s="117">
        <f>'As-Filed Schedule 2H'!J49</f>
        <v>0</v>
      </c>
      <c r="O49" s="313">
        <f>SUMIFS(Adjustments!$G:$G,Adjustments!$H:$H,"2H",Adjustments!$I:$I,'Schedule 2H Adjustments'!$N$12,Adjustments!$J:$J,'Schedule 2H Adjustments'!$A49)</f>
        <v>0</v>
      </c>
      <c r="P49" s="309">
        <f t="shared" si="3"/>
        <v>0</v>
      </c>
      <c r="Q49" s="68">
        <f>IFERROR(N49*'As-Filed Schedule 1'!$E$103,0)</f>
        <v>0</v>
      </c>
      <c r="R49" s="68">
        <f>IFERROR(P49*'Adjusted Schedule 1'!$E$104,0)</f>
        <v>0</v>
      </c>
      <c r="S49" s="68">
        <f t="shared" si="4"/>
        <v>0</v>
      </c>
      <c r="T49" s="310">
        <f t="shared" si="5"/>
        <v>0</v>
      </c>
      <c r="V49" s="120">
        <f>'As-Filed Schedule 2H'!N49</f>
        <v>0</v>
      </c>
      <c r="W49" s="313">
        <f>SUMIFS(Adjustments!$G:$G,Adjustments!$H:$H,"2H",Adjustments!$I:$I,'Schedule 2H Adjustments'!$V$12,Adjustments!$J:$J,'Schedule 2H Adjustments'!$A49)</f>
        <v>0</v>
      </c>
      <c r="X49" s="309">
        <f t="shared" si="6"/>
        <v>0</v>
      </c>
      <c r="Y49" s="120">
        <f>'As-Filed Schedule 2H'!O49</f>
        <v>0</v>
      </c>
      <c r="Z49" s="313">
        <f>SUMIFS(Adjustments!$G:$G,Adjustments!$H:$H,"2H",Adjustments!$I:$I,'Schedule 2H Adjustments'!$Y$12,Adjustments!$J:$J,'Schedule 2H Adjustments'!$A49)</f>
        <v>0</v>
      </c>
      <c r="AA49" s="309">
        <f t="shared" si="7"/>
        <v>0</v>
      </c>
    </row>
    <row r="50" spans="1:27" x14ac:dyDescent="0.35">
      <c r="A50" s="24">
        <v>36</v>
      </c>
      <c r="B50" s="507" t="str">
        <f>IF('As-Filed Schedule 2H'!B50:D50=0,"",'As-Filed Schedule 2H'!B50:D50)</f>
        <v/>
      </c>
      <c r="C50" s="507"/>
      <c r="D50" s="507"/>
      <c r="F50" s="117">
        <f>'As-Filed Schedule 2H'!F50</f>
        <v>0</v>
      </c>
      <c r="G50" s="313">
        <f>SUMIFS(Adjustments!$G:$G,Adjustments!$H:$H,"2H",Adjustments!$I:$I,'Schedule 2H Adjustments'!$F$12,Adjustments!$J:$J,'Schedule 2H Adjustments'!$A50)</f>
        <v>0</v>
      </c>
      <c r="H50" s="309">
        <f t="shared" si="0"/>
        <v>0</v>
      </c>
      <c r="I50" s="68">
        <f>IFERROR(F50*'As-Filed Schedule 1'!$E$103,0)</f>
        <v>0</v>
      </c>
      <c r="J50" s="310">
        <f>IFERROR(H50*'Adjusted Schedule 1'!$E$104,0)</f>
        <v>0</v>
      </c>
      <c r="K50" s="68">
        <f t="shared" si="1"/>
        <v>0</v>
      </c>
      <c r="L50" s="310">
        <f t="shared" si="2"/>
        <v>0</v>
      </c>
      <c r="N50" s="117">
        <f>'As-Filed Schedule 2H'!J50</f>
        <v>0</v>
      </c>
      <c r="O50" s="313">
        <f>SUMIFS(Adjustments!$G:$G,Adjustments!$H:$H,"2H",Adjustments!$I:$I,'Schedule 2H Adjustments'!$N$12,Adjustments!$J:$J,'Schedule 2H Adjustments'!$A50)</f>
        <v>0</v>
      </c>
      <c r="P50" s="309">
        <f t="shared" si="3"/>
        <v>0</v>
      </c>
      <c r="Q50" s="68">
        <f>IFERROR(N50*'As-Filed Schedule 1'!$E$103,0)</f>
        <v>0</v>
      </c>
      <c r="R50" s="68">
        <f>IFERROR(P50*'Adjusted Schedule 1'!$E$104,0)</f>
        <v>0</v>
      </c>
      <c r="S50" s="68">
        <f t="shared" si="4"/>
        <v>0</v>
      </c>
      <c r="T50" s="310">
        <f t="shared" si="5"/>
        <v>0</v>
      </c>
      <c r="V50" s="120">
        <f>'As-Filed Schedule 2H'!N50</f>
        <v>0</v>
      </c>
      <c r="W50" s="313">
        <f>SUMIFS(Adjustments!$G:$G,Adjustments!$H:$H,"2H",Adjustments!$I:$I,'Schedule 2H Adjustments'!$V$12,Adjustments!$J:$J,'Schedule 2H Adjustments'!$A50)</f>
        <v>0</v>
      </c>
      <c r="X50" s="309">
        <f t="shared" si="6"/>
        <v>0</v>
      </c>
      <c r="Y50" s="120">
        <f>'As-Filed Schedule 2H'!O50</f>
        <v>0</v>
      </c>
      <c r="Z50" s="313">
        <f>SUMIFS(Adjustments!$G:$G,Adjustments!$H:$H,"2H",Adjustments!$I:$I,'Schedule 2H Adjustments'!$Y$12,Adjustments!$J:$J,'Schedule 2H Adjustments'!$A50)</f>
        <v>0</v>
      </c>
      <c r="AA50" s="309">
        <f t="shared" si="7"/>
        <v>0</v>
      </c>
    </row>
    <row r="51" spans="1:27" x14ac:dyDescent="0.35">
      <c r="A51" s="24">
        <v>37</v>
      </c>
      <c r="B51" s="507" t="str">
        <f>IF('As-Filed Schedule 2H'!B51:D51=0,"",'As-Filed Schedule 2H'!B51:D51)</f>
        <v/>
      </c>
      <c r="C51" s="507"/>
      <c r="D51" s="507"/>
      <c r="F51" s="117">
        <f>'As-Filed Schedule 2H'!F51</f>
        <v>0</v>
      </c>
      <c r="G51" s="313">
        <f>SUMIFS(Adjustments!$G:$G,Adjustments!$H:$H,"2H",Adjustments!$I:$I,'Schedule 2H Adjustments'!$F$12,Adjustments!$J:$J,'Schedule 2H Adjustments'!$A51)</f>
        <v>0</v>
      </c>
      <c r="H51" s="309">
        <f t="shared" si="0"/>
        <v>0</v>
      </c>
      <c r="I51" s="68">
        <f>IFERROR(F51*'As-Filed Schedule 1'!$E$103,0)</f>
        <v>0</v>
      </c>
      <c r="J51" s="310">
        <f>IFERROR(H51*'Adjusted Schedule 1'!$E$104,0)</f>
        <v>0</v>
      </c>
      <c r="K51" s="68">
        <f t="shared" si="1"/>
        <v>0</v>
      </c>
      <c r="L51" s="310">
        <f t="shared" si="2"/>
        <v>0</v>
      </c>
      <c r="N51" s="117">
        <f>'As-Filed Schedule 2H'!J51</f>
        <v>0</v>
      </c>
      <c r="O51" s="313">
        <f>SUMIFS(Adjustments!$G:$G,Adjustments!$H:$H,"2H",Adjustments!$I:$I,'Schedule 2H Adjustments'!$N$12,Adjustments!$J:$J,'Schedule 2H Adjustments'!$A51)</f>
        <v>0</v>
      </c>
      <c r="P51" s="309">
        <f t="shared" si="3"/>
        <v>0</v>
      </c>
      <c r="Q51" s="68">
        <f>IFERROR(N51*'As-Filed Schedule 1'!$E$103,0)</f>
        <v>0</v>
      </c>
      <c r="R51" s="68">
        <f>IFERROR(P51*'Adjusted Schedule 1'!$E$104,0)</f>
        <v>0</v>
      </c>
      <c r="S51" s="68">
        <f t="shared" si="4"/>
        <v>0</v>
      </c>
      <c r="T51" s="310">
        <f t="shared" si="5"/>
        <v>0</v>
      </c>
      <c r="V51" s="120">
        <f>'As-Filed Schedule 2H'!N51</f>
        <v>0</v>
      </c>
      <c r="W51" s="313">
        <f>SUMIFS(Adjustments!$G:$G,Adjustments!$H:$H,"2H",Adjustments!$I:$I,'Schedule 2H Adjustments'!$V$12,Adjustments!$J:$J,'Schedule 2H Adjustments'!$A51)</f>
        <v>0</v>
      </c>
      <c r="X51" s="309">
        <f t="shared" si="6"/>
        <v>0</v>
      </c>
      <c r="Y51" s="120">
        <f>'As-Filed Schedule 2H'!O51</f>
        <v>0</v>
      </c>
      <c r="Z51" s="313">
        <f>SUMIFS(Adjustments!$G:$G,Adjustments!$H:$H,"2H",Adjustments!$I:$I,'Schedule 2H Adjustments'!$Y$12,Adjustments!$J:$J,'Schedule 2H Adjustments'!$A51)</f>
        <v>0</v>
      </c>
      <c r="AA51" s="309">
        <f t="shared" si="7"/>
        <v>0</v>
      </c>
    </row>
    <row r="52" spans="1:27" x14ac:dyDescent="0.35">
      <c r="A52" s="24">
        <v>38</v>
      </c>
      <c r="B52" s="507" t="str">
        <f>IF('As-Filed Schedule 2H'!B52:D52=0,"",'As-Filed Schedule 2H'!B52:D52)</f>
        <v/>
      </c>
      <c r="C52" s="507"/>
      <c r="D52" s="507"/>
      <c r="F52" s="117">
        <f>'As-Filed Schedule 2H'!F52</f>
        <v>0</v>
      </c>
      <c r="G52" s="313">
        <f>SUMIFS(Adjustments!$G:$G,Adjustments!$H:$H,"2H",Adjustments!$I:$I,'Schedule 2H Adjustments'!$F$12,Adjustments!$J:$J,'Schedule 2H Adjustments'!$A52)</f>
        <v>0</v>
      </c>
      <c r="H52" s="309">
        <f t="shared" si="0"/>
        <v>0</v>
      </c>
      <c r="I52" s="68">
        <f>IFERROR(F52*'As-Filed Schedule 1'!$E$103,0)</f>
        <v>0</v>
      </c>
      <c r="J52" s="310">
        <f>IFERROR(H52*'Adjusted Schedule 1'!$E$104,0)</f>
        <v>0</v>
      </c>
      <c r="K52" s="68">
        <f t="shared" si="1"/>
        <v>0</v>
      </c>
      <c r="L52" s="310">
        <f t="shared" si="2"/>
        <v>0</v>
      </c>
      <c r="N52" s="117">
        <f>'As-Filed Schedule 2H'!J52</f>
        <v>0</v>
      </c>
      <c r="O52" s="313">
        <f>SUMIFS(Adjustments!$G:$G,Adjustments!$H:$H,"2H",Adjustments!$I:$I,'Schedule 2H Adjustments'!$N$12,Adjustments!$J:$J,'Schedule 2H Adjustments'!$A52)</f>
        <v>0</v>
      </c>
      <c r="P52" s="309">
        <f t="shared" si="3"/>
        <v>0</v>
      </c>
      <c r="Q52" s="68">
        <f>IFERROR(N52*'As-Filed Schedule 1'!$E$103,0)</f>
        <v>0</v>
      </c>
      <c r="R52" s="68">
        <f>IFERROR(P52*'Adjusted Schedule 1'!$E$104,0)</f>
        <v>0</v>
      </c>
      <c r="S52" s="68">
        <f t="shared" si="4"/>
        <v>0</v>
      </c>
      <c r="T52" s="310">
        <f t="shared" si="5"/>
        <v>0</v>
      </c>
      <c r="V52" s="120">
        <f>'As-Filed Schedule 2H'!N52</f>
        <v>0</v>
      </c>
      <c r="W52" s="313">
        <f>SUMIFS(Adjustments!$G:$G,Adjustments!$H:$H,"2H",Adjustments!$I:$I,'Schedule 2H Adjustments'!$V$12,Adjustments!$J:$J,'Schedule 2H Adjustments'!$A52)</f>
        <v>0</v>
      </c>
      <c r="X52" s="309">
        <f t="shared" si="6"/>
        <v>0</v>
      </c>
      <c r="Y52" s="120">
        <f>'As-Filed Schedule 2H'!O52</f>
        <v>0</v>
      </c>
      <c r="Z52" s="313">
        <f>SUMIFS(Adjustments!$G:$G,Adjustments!$H:$H,"2H",Adjustments!$I:$I,'Schedule 2H Adjustments'!$Y$12,Adjustments!$J:$J,'Schedule 2H Adjustments'!$A52)</f>
        <v>0</v>
      </c>
      <c r="AA52" s="309">
        <f t="shared" si="7"/>
        <v>0</v>
      </c>
    </row>
    <row r="53" spans="1:27" x14ac:dyDescent="0.35">
      <c r="A53" s="24">
        <v>39</v>
      </c>
      <c r="B53" s="507" t="str">
        <f>IF('As-Filed Schedule 2H'!B53:D53=0,"",'As-Filed Schedule 2H'!B53:D53)</f>
        <v/>
      </c>
      <c r="C53" s="507"/>
      <c r="D53" s="507"/>
      <c r="F53" s="117">
        <f>'As-Filed Schedule 2H'!F53</f>
        <v>0</v>
      </c>
      <c r="G53" s="313">
        <f>SUMIFS(Adjustments!$G:$G,Adjustments!$H:$H,"2H",Adjustments!$I:$I,'Schedule 2H Adjustments'!$F$12,Adjustments!$J:$J,'Schedule 2H Adjustments'!$A53)</f>
        <v>0</v>
      </c>
      <c r="H53" s="309">
        <f t="shared" si="0"/>
        <v>0</v>
      </c>
      <c r="I53" s="68">
        <f>IFERROR(F53*'As-Filed Schedule 1'!$E$103,0)</f>
        <v>0</v>
      </c>
      <c r="J53" s="310">
        <f>IFERROR(H53*'Adjusted Schedule 1'!$E$104,0)</f>
        <v>0</v>
      </c>
      <c r="K53" s="68">
        <f t="shared" si="1"/>
        <v>0</v>
      </c>
      <c r="L53" s="310">
        <f t="shared" si="2"/>
        <v>0</v>
      </c>
      <c r="N53" s="117">
        <f>'As-Filed Schedule 2H'!J53</f>
        <v>0</v>
      </c>
      <c r="O53" s="313">
        <f>SUMIFS(Adjustments!$G:$G,Adjustments!$H:$H,"2H",Adjustments!$I:$I,'Schedule 2H Adjustments'!$N$12,Adjustments!$J:$J,'Schedule 2H Adjustments'!$A53)</f>
        <v>0</v>
      </c>
      <c r="P53" s="309">
        <f t="shared" si="3"/>
        <v>0</v>
      </c>
      <c r="Q53" s="68">
        <f>IFERROR(N53*'As-Filed Schedule 1'!$E$103,0)</f>
        <v>0</v>
      </c>
      <c r="R53" s="68">
        <f>IFERROR(P53*'Adjusted Schedule 1'!$E$104,0)</f>
        <v>0</v>
      </c>
      <c r="S53" s="68">
        <f t="shared" si="4"/>
        <v>0</v>
      </c>
      <c r="T53" s="310">
        <f t="shared" si="5"/>
        <v>0</v>
      </c>
      <c r="V53" s="120">
        <f>'As-Filed Schedule 2H'!N53</f>
        <v>0</v>
      </c>
      <c r="W53" s="313">
        <f>SUMIFS(Adjustments!$G:$G,Adjustments!$H:$H,"2H",Adjustments!$I:$I,'Schedule 2H Adjustments'!$V$12,Adjustments!$J:$J,'Schedule 2H Adjustments'!$A53)</f>
        <v>0</v>
      </c>
      <c r="X53" s="309">
        <f t="shared" si="6"/>
        <v>0</v>
      </c>
      <c r="Y53" s="120">
        <f>'As-Filed Schedule 2H'!O53</f>
        <v>0</v>
      </c>
      <c r="Z53" s="313">
        <f>SUMIFS(Adjustments!$G:$G,Adjustments!$H:$H,"2H",Adjustments!$I:$I,'Schedule 2H Adjustments'!$Y$12,Adjustments!$J:$J,'Schedule 2H Adjustments'!$A53)</f>
        <v>0</v>
      </c>
      <c r="AA53" s="309">
        <f t="shared" si="7"/>
        <v>0</v>
      </c>
    </row>
    <row r="54" spans="1:27" x14ac:dyDescent="0.35">
      <c r="A54" s="24">
        <v>40</v>
      </c>
      <c r="B54" s="507" t="str">
        <f>IF('As-Filed Schedule 2H'!B54:D54=0,"",'As-Filed Schedule 2H'!B54:D54)</f>
        <v/>
      </c>
      <c r="C54" s="507"/>
      <c r="D54" s="507"/>
      <c r="F54" s="117">
        <f>'As-Filed Schedule 2H'!F54</f>
        <v>0</v>
      </c>
      <c r="G54" s="313">
        <f>SUMIFS(Adjustments!$G:$G,Adjustments!$H:$H,"2H",Adjustments!$I:$I,'Schedule 2H Adjustments'!$F$12,Adjustments!$J:$J,'Schedule 2H Adjustments'!$A54)</f>
        <v>0</v>
      </c>
      <c r="H54" s="309">
        <f t="shared" si="0"/>
        <v>0</v>
      </c>
      <c r="I54" s="68">
        <f>IFERROR(F54*'As-Filed Schedule 1'!$E$103,0)</f>
        <v>0</v>
      </c>
      <c r="J54" s="310">
        <f>IFERROR(H54*'Adjusted Schedule 1'!$E$104,0)</f>
        <v>0</v>
      </c>
      <c r="K54" s="68">
        <f t="shared" si="1"/>
        <v>0</v>
      </c>
      <c r="L54" s="310">
        <f t="shared" si="2"/>
        <v>0</v>
      </c>
      <c r="N54" s="117">
        <f>'As-Filed Schedule 2H'!J54</f>
        <v>0</v>
      </c>
      <c r="O54" s="313">
        <f>SUMIFS(Adjustments!$G:$G,Adjustments!$H:$H,"2H",Adjustments!$I:$I,'Schedule 2H Adjustments'!$N$12,Adjustments!$J:$J,'Schedule 2H Adjustments'!$A54)</f>
        <v>0</v>
      </c>
      <c r="P54" s="309">
        <f t="shared" si="3"/>
        <v>0</v>
      </c>
      <c r="Q54" s="68">
        <f>IFERROR(N54*'As-Filed Schedule 1'!$E$103,0)</f>
        <v>0</v>
      </c>
      <c r="R54" s="68">
        <f>IFERROR(P54*'Adjusted Schedule 1'!$E$104,0)</f>
        <v>0</v>
      </c>
      <c r="S54" s="68">
        <f t="shared" si="4"/>
        <v>0</v>
      </c>
      <c r="T54" s="310">
        <f t="shared" si="5"/>
        <v>0</v>
      </c>
      <c r="V54" s="120">
        <f>'As-Filed Schedule 2H'!N54</f>
        <v>0</v>
      </c>
      <c r="W54" s="313">
        <f>SUMIFS(Adjustments!$G:$G,Adjustments!$H:$H,"2H",Adjustments!$I:$I,'Schedule 2H Adjustments'!$V$12,Adjustments!$J:$J,'Schedule 2H Adjustments'!$A54)</f>
        <v>0</v>
      </c>
      <c r="X54" s="309">
        <f t="shared" si="6"/>
        <v>0</v>
      </c>
      <c r="Y54" s="120">
        <f>'As-Filed Schedule 2H'!O54</f>
        <v>0</v>
      </c>
      <c r="Z54" s="313">
        <f>SUMIFS(Adjustments!$G:$G,Adjustments!$H:$H,"2H",Adjustments!$I:$I,'Schedule 2H Adjustments'!$Y$12,Adjustments!$J:$J,'Schedule 2H Adjustments'!$A54)</f>
        <v>0</v>
      </c>
      <c r="AA54" s="309">
        <f t="shared" si="7"/>
        <v>0</v>
      </c>
    </row>
    <row r="55" spans="1:27" x14ac:dyDescent="0.35">
      <c r="A55" s="24">
        <v>41</v>
      </c>
      <c r="B55" s="507" t="str">
        <f>IF('As-Filed Schedule 2H'!B55:D55=0,"",'As-Filed Schedule 2H'!B55:D55)</f>
        <v/>
      </c>
      <c r="C55" s="507"/>
      <c r="D55" s="507"/>
      <c r="F55" s="117">
        <f>'As-Filed Schedule 2H'!F55</f>
        <v>0</v>
      </c>
      <c r="G55" s="313">
        <f>SUMIFS(Adjustments!$G:$G,Adjustments!$H:$H,"2H",Adjustments!$I:$I,'Schedule 2H Adjustments'!$F$12,Adjustments!$J:$J,'Schedule 2H Adjustments'!$A55)</f>
        <v>0</v>
      </c>
      <c r="H55" s="309">
        <f t="shared" si="0"/>
        <v>0</v>
      </c>
      <c r="I55" s="68">
        <f>IFERROR(F55*'As-Filed Schedule 1'!$E$103,0)</f>
        <v>0</v>
      </c>
      <c r="J55" s="310">
        <f>IFERROR(H55*'Adjusted Schedule 1'!$E$104,0)</f>
        <v>0</v>
      </c>
      <c r="K55" s="68">
        <f t="shared" si="1"/>
        <v>0</v>
      </c>
      <c r="L55" s="310">
        <f t="shared" si="2"/>
        <v>0</v>
      </c>
      <c r="N55" s="117">
        <f>'As-Filed Schedule 2H'!J55</f>
        <v>0</v>
      </c>
      <c r="O55" s="313">
        <f>SUMIFS(Adjustments!$G:$G,Adjustments!$H:$H,"2H",Adjustments!$I:$I,'Schedule 2H Adjustments'!$N$12,Adjustments!$J:$J,'Schedule 2H Adjustments'!$A55)</f>
        <v>0</v>
      </c>
      <c r="P55" s="309">
        <f t="shared" si="3"/>
        <v>0</v>
      </c>
      <c r="Q55" s="68">
        <f>IFERROR(N55*'As-Filed Schedule 1'!$E$103,0)</f>
        <v>0</v>
      </c>
      <c r="R55" s="68">
        <f>IFERROR(P55*'Adjusted Schedule 1'!$E$104,0)</f>
        <v>0</v>
      </c>
      <c r="S55" s="68">
        <f t="shared" si="4"/>
        <v>0</v>
      </c>
      <c r="T55" s="310">
        <f t="shared" si="5"/>
        <v>0</v>
      </c>
      <c r="V55" s="120">
        <f>'As-Filed Schedule 2H'!N55</f>
        <v>0</v>
      </c>
      <c r="W55" s="313">
        <f>SUMIFS(Adjustments!$G:$G,Adjustments!$H:$H,"2H",Adjustments!$I:$I,'Schedule 2H Adjustments'!$V$12,Adjustments!$J:$J,'Schedule 2H Adjustments'!$A55)</f>
        <v>0</v>
      </c>
      <c r="X55" s="309">
        <f t="shared" si="6"/>
        <v>0</v>
      </c>
      <c r="Y55" s="120">
        <f>'As-Filed Schedule 2H'!O55</f>
        <v>0</v>
      </c>
      <c r="Z55" s="313">
        <f>SUMIFS(Adjustments!$G:$G,Adjustments!$H:$H,"2H",Adjustments!$I:$I,'Schedule 2H Adjustments'!$Y$12,Adjustments!$J:$J,'Schedule 2H Adjustments'!$A55)</f>
        <v>0</v>
      </c>
      <c r="AA55" s="309">
        <f t="shared" si="7"/>
        <v>0</v>
      </c>
    </row>
    <row r="56" spans="1:27" x14ac:dyDescent="0.35">
      <c r="A56" s="24">
        <v>42</v>
      </c>
      <c r="B56" s="507" t="str">
        <f>IF('As-Filed Schedule 2H'!B56:D56=0,"",'As-Filed Schedule 2H'!B56:D56)</f>
        <v/>
      </c>
      <c r="C56" s="507"/>
      <c r="D56" s="507"/>
      <c r="F56" s="117">
        <f>'As-Filed Schedule 2H'!F56</f>
        <v>0</v>
      </c>
      <c r="G56" s="313">
        <f>SUMIFS(Adjustments!$G:$G,Adjustments!$H:$H,"2H",Adjustments!$I:$I,'Schedule 2H Adjustments'!$F$12,Adjustments!$J:$J,'Schedule 2H Adjustments'!$A56)</f>
        <v>0</v>
      </c>
      <c r="H56" s="309">
        <f t="shared" si="0"/>
        <v>0</v>
      </c>
      <c r="I56" s="68">
        <f>IFERROR(F56*'As-Filed Schedule 1'!$E$103,0)</f>
        <v>0</v>
      </c>
      <c r="J56" s="310">
        <f>IFERROR(H56*'Adjusted Schedule 1'!$E$104,0)</f>
        <v>0</v>
      </c>
      <c r="K56" s="68">
        <f t="shared" si="1"/>
        <v>0</v>
      </c>
      <c r="L56" s="310">
        <f t="shared" si="2"/>
        <v>0</v>
      </c>
      <c r="N56" s="117">
        <f>'As-Filed Schedule 2H'!J56</f>
        <v>0</v>
      </c>
      <c r="O56" s="313">
        <f>SUMIFS(Adjustments!$G:$G,Adjustments!$H:$H,"2H",Adjustments!$I:$I,'Schedule 2H Adjustments'!$N$12,Adjustments!$J:$J,'Schedule 2H Adjustments'!$A56)</f>
        <v>0</v>
      </c>
      <c r="P56" s="309">
        <f t="shared" si="3"/>
        <v>0</v>
      </c>
      <c r="Q56" s="68">
        <f>IFERROR(N56*'As-Filed Schedule 1'!$E$103,0)</f>
        <v>0</v>
      </c>
      <c r="R56" s="68">
        <f>IFERROR(P56*'Adjusted Schedule 1'!$E$104,0)</f>
        <v>0</v>
      </c>
      <c r="S56" s="68">
        <f t="shared" si="4"/>
        <v>0</v>
      </c>
      <c r="T56" s="310">
        <f t="shared" si="5"/>
        <v>0</v>
      </c>
      <c r="V56" s="120">
        <f>'As-Filed Schedule 2H'!N56</f>
        <v>0</v>
      </c>
      <c r="W56" s="313">
        <f>SUMIFS(Adjustments!$G:$G,Adjustments!$H:$H,"2H",Adjustments!$I:$I,'Schedule 2H Adjustments'!$V$12,Adjustments!$J:$J,'Schedule 2H Adjustments'!$A56)</f>
        <v>0</v>
      </c>
      <c r="X56" s="309">
        <f t="shared" si="6"/>
        <v>0</v>
      </c>
      <c r="Y56" s="120">
        <f>'As-Filed Schedule 2H'!O56</f>
        <v>0</v>
      </c>
      <c r="Z56" s="313">
        <f>SUMIFS(Adjustments!$G:$G,Adjustments!$H:$H,"2H",Adjustments!$I:$I,'Schedule 2H Adjustments'!$Y$12,Adjustments!$J:$J,'Schedule 2H Adjustments'!$A56)</f>
        <v>0</v>
      </c>
      <c r="AA56" s="309">
        <f t="shared" si="7"/>
        <v>0</v>
      </c>
    </row>
    <row r="57" spans="1:27" x14ac:dyDescent="0.35">
      <c r="A57" s="24">
        <v>43</v>
      </c>
      <c r="B57" s="507" t="str">
        <f>IF('As-Filed Schedule 2H'!B57:D57=0,"",'As-Filed Schedule 2H'!B57:D57)</f>
        <v/>
      </c>
      <c r="C57" s="507"/>
      <c r="D57" s="507"/>
      <c r="F57" s="117">
        <f>'As-Filed Schedule 2H'!F57</f>
        <v>0</v>
      </c>
      <c r="G57" s="313">
        <f>SUMIFS(Adjustments!$G:$G,Adjustments!$H:$H,"2H",Adjustments!$I:$I,'Schedule 2H Adjustments'!$F$12,Adjustments!$J:$J,'Schedule 2H Adjustments'!$A57)</f>
        <v>0</v>
      </c>
      <c r="H57" s="309">
        <f t="shared" si="0"/>
        <v>0</v>
      </c>
      <c r="I57" s="68">
        <f>IFERROR(F57*'As-Filed Schedule 1'!$E$103,0)</f>
        <v>0</v>
      </c>
      <c r="J57" s="310">
        <f>IFERROR(H57*'Adjusted Schedule 1'!$E$104,0)</f>
        <v>0</v>
      </c>
      <c r="K57" s="68">
        <f t="shared" si="1"/>
        <v>0</v>
      </c>
      <c r="L57" s="310">
        <f t="shared" si="2"/>
        <v>0</v>
      </c>
      <c r="N57" s="117">
        <f>'As-Filed Schedule 2H'!J57</f>
        <v>0</v>
      </c>
      <c r="O57" s="313">
        <f>SUMIFS(Adjustments!$G:$G,Adjustments!$H:$H,"2H",Adjustments!$I:$I,'Schedule 2H Adjustments'!$N$12,Adjustments!$J:$J,'Schedule 2H Adjustments'!$A57)</f>
        <v>0</v>
      </c>
      <c r="P57" s="309">
        <f t="shared" si="3"/>
        <v>0</v>
      </c>
      <c r="Q57" s="68">
        <f>IFERROR(N57*'As-Filed Schedule 1'!$E$103,0)</f>
        <v>0</v>
      </c>
      <c r="R57" s="68">
        <f>IFERROR(P57*'Adjusted Schedule 1'!$E$104,0)</f>
        <v>0</v>
      </c>
      <c r="S57" s="68">
        <f t="shared" si="4"/>
        <v>0</v>
      </c>
      <c r="T57" s="310">
        <f t="shared" si="5"/>
        <v>0</v>
      </c>
      <c r="V57" s="120">
        <f>'As-Filed Schedule 2H'!N57</f>
        <v>0</v>
      </c>
      <c r="W57" s="313">
        <f>SUMIFS(Adjustments!$G:$G,Adjustments!$H:$H,"2H",Adjustments!$I:$I,'Schedule 2H Adjustments'!$V$12,Adjustments!$J:$J,'Schedule 2H Adjustments'!$A57)</f>
        <v>0</v>
      </c>
      <c r="X57" s="309">
        <f t="shared" si="6"/>
        <v>0</v>
      </c>
      <c r="Y57" s="120">
        <f>'As-Filed Schedule 2H'!O57</f>
        <v>0</v>
      </c>
      <c r="Z57" s="313">
        <f>SUMIFS(Adjustments!$G:$G,Adjustments!$H:$H,"2H",Adjustments!$I:$I,'Schedule 2H Adjustments'!$Y$12,Adjustments!$J:$J,'Schedule 2H Adjustments'!$A57)</f>
        <v>0</v>
      </c>
      <c r="AA57" s="309">
        <f t="shared" si="7"/>
        <v>0</v>
      </c>
    </row>
    <row r="58" spans="1:27" x14ac:dyDescent="0.35">
      <c r="A58" s="24">
        <v>44</v>
      </c>
      <c r="B58" s="507" t="str">
        <f>IF('As-Filed Schedule 2H'!B58:D58=0,"",'As-Filed Schedule 2H'!B58:D58)</f>
        <v/>
      </c>
      <c r="C58" s="507"/>
      <c r="D58" s="507"/>
      <c r="F58" s="117">
        <f>'As-Filed Schedule 2H'!F58</f>
        <v>0</v>
      </c>
      <c r="G58" s="313">
        <f>SUMIFS(Adjustments!$G:$G,Adjustments!$H:$H,"2H",Adjustments!$I:$I,'Schedule 2H Adjustments'!$F$12,Adjustments!$J:$J,'Schedule 2H Adjustments'!$A58)</f>
        <v>0</v>
      </c>
      <c r="H58" s="309">
        <f t="shared" si="0"/>
        <v>0</v>
      </c>
      <c r="I58" s="68">
        <f>IFERROR(F58*'As-Filed Schedule 1'!$E$103,0)</f>
        <v>0</v>
      </c>
      <c r="J58" s="310">
        <f>IFERROR(H58*'Adjusted Schedule 1'!$E$104,0)</f>
        <v>0</v>
      </c>
      <c r="K58" s="68">
        <f t="shared" si="1"/>
        <v>0</v>
      </c>
      <c r="L58" s="310">
        <f t="shared" si="2"/>
        <v>0</v>
      </c>
      <c r="N58" s="117">
        <f>'As-Filed Schedule 2H'!J58</f>
        <v>0</v>
      </c>
      <c r="O58" s="313">
        <f>SUMIFS(Adjustments!$G:$G,Adjustments!$H:$H,"2H",Adjustments!$I:$I,'Schedule 2H Adjustments'!$N$12,Adjustments!$J:$J,'Schedule 2H Adjustments'!$A58)</f>
        <v>0</v>
      </c>
      <c r="P58" s="309">
        <f t="shared" si="3"/>
        <v>0</v>
      </c>
      <c r="Q58" s="68">
        <f>IFERROR(N58*'As-Filed Schedule 1'!$E$103,0)</f>
        <v>0</v>
      </c>
      <c r="R58" s="68">
        <f>IFERROR(P58*'Adjusted Schedule 1'!$E$104,0)</f>
        <v>0</v>
      </c>
      <c r="S58" s="68">
        <f t="shared" si="4"/>
        <v>0</v>
      </c>
      <c r="T58" s="310">
        <f t="shared" si="5"/>
        <v>0</v>
      </c>
      <c r="V58" s="120">
        <f>'As-Filed Schedule 2H'!N58</f>
        <v>0</v>
      </c>
      <c r="W58" s="313">
        <f>SUMIFS(Adjustments!$G:$G,Adjustments!$H:$H,"2H",Adjustments!$I:$I,'Schedule 2H Adjustments'!$V$12,Adjustments!$J:$J,'Schedule 2H Adjustments'!$A58)</f>
        <v>0</v>
      </c>
      <c r="X58" s="309">
        <f t="shared" si="6"/>
        <v>0</v>
      </c>
      <c r="Y58" s="120">
        <f>'As-Filed Schedule 2H'!O58</f>
        <v>0</v>
      </c>
      <c r="Z58" s="313">
        <f>SUMIFS(Adjustments!$G:$G,Adjustments!$H:$H,"2H",Adjustments!$I:$I,'Schedule 2H Adjustments'!$Y$12,Adjustments!$J:$J,'Schedule 2H Adjustments'!$A58)</f>
        <v>0</v>
      </c>
      <c r="AA58" s="309">
        <f t="shared" si="7"/>
        <v>0</v>
      </c>
    </row>
    <row r="59" spans="1:27" x14ac:dyDescent="0.35">
      <c r="A59" s="24">
        <v>45</v>
      </c>
      <c r="B59" s="507" t="str">
        <f>IF('As-Filed Schedule 2H'!B59:D59=0,"",'As-Filed Schedule 2H'!B59:D59)</f>
        <v/>
      </c>
      <c r="C59" s="507"/>
      <c r="D59" s="507"/>
      <c r="F59" s="117">
        <f>'As-Filed Schedule 2H'!F59</f>
        <v>0</v>
      </c>
      <c r="G59" s="313">
        <f>SUMIFS(Adjustments!$G:$G,Adjustments!$H:$H,"2H",Adjustments!$I:$I,'Schedule 2H Adjustments'!$F$12,Adjustments!$J:$J,'Schedule 2H Adjustments'!$A59)</f>
        <v>0</v>
      </c>
      <c r="H59" s="309">
        <f t="shared" si="0"/>
        <v>0</v>
      </c>
      <c r="I59" s="68">
        <f>IFERROR(F59*'As-Filed Schedule 1'!$E$103,0)</f>
        <v>0</v>
      </c>
      <c r="J59" s="310">
        <f>IFERROR(H59*'Adjusted Schedule 1'!$E$104,0)</f>
        <v>0</v>
      </c>
      <c r="K59" s="68">
        <f t="shared" si="1"/>
        <v>0</v>
      </c>
      <c r="L59" s="310">
        <f t="shared" si="2"/>
        <v>0</v>
      </c>
      <c r="N59" s="117">
        <f>'As-Filed Schedule 2H'!J59</f>
        <v>0</v>
      </c>
      <c r="O59" s="313">
        <f>SUMIFS(Adjustments!$G:$G,Adjustments!$H:$H,"2H",Adjustments!$I:$I,'Schedule 2H Adjustments'!$N$12,Adjustments!$J:$J,'Schedule 2H Adjustments'!$A59)</f>
        <v>0</v>
      </c>
      <c r="P59" s="309">
        <f t="shared" si="3"/>
        <v>0</v>
      </c>
      <c r="Q59" s="68">
        <f>IFERROR(N59*'As-Filed Schedule 1'!$E$103,0)</f>
        <v>0</v>
      </c>
      <c r="R59" s="68">
        <f>IFERROR(P59*'Adjusted Schedule 1'!$E$104,0)</f>
        <v>0</v>
      </c>
      <c r="S59" s="68">
        <f t="shared" si="4"/>
        <v>0</v>
      </c>
      <c r="T59" s="310">
        <f t="shared" si="5"/>
        <v>0</v>
      </c>
      <c r="V59" s="120">
        <f>'As-Filed Schedule 2H'!N59</f>
        <v>0</v>
      </c>
      <c r="W59" s="313">
        <f>SUMIFS(Adjustments!$G:$G,Adjustments!$H:$H,"2H",Adjustments!$I:$I,'Schedule 2H Adjustments'!$V$12,Adjustments!$J:$J,'Schedule 2H Adjustments'!$A59)</f>
        <v>0</v>
      </c>
      <c r="X59" s="309">
        <f t="shared" si="6"/>
        <v>0</v>
      </c>
      <c r="Y59" s="120">
        <f>'As-Filed Schedule 2H'!O59</f>
        <v>0</v>
      </c>
      <c r="Z59" s="313">
        <f>SUMIFS(Adjustments!$G:$G,Adjustments!$H:$H,"2H",Adjustments!$I:$I,'Schedule 2H Adjustments'!$Y$12,Adjustments!$J:$J,'Schedule 2H Adjustments'!$A59)</f>
        <v>0</v>
      </c>
      <c r="AA59" s="309">
        <f t="shared" si="7"/>
        <v>0</v>
      </c>
    </row>
    <row r="60" spans="1:27" x14ac:dyDescent="0.35">
      <c r="A60" s="24">
        <v>46</v>
      </c>
      <c r="B60" s="507" t="str">
        <f>IF('As-Filed Schedule 2H'!B60:D60=0,"",'As-Filed Schedule 2H'!B60:D60)</f>
        <v/>
      </c>
      <c r="C60" s="507"/>
      <c r="D60" s="507"/>
      <c r="F60" s="117">
        <f>'As-Filed Schedule 2H'!F60</f>
        <v>0</v>
      </c>
      <c r="G60" s="313">
        <f>SUMIFS(Adjustments!$G:$G,Adjustments!$H:$H,"2H",Adjustments!$I:$I,'Schedule 2H Adjustments'!$F$12,Adjustments!$J:$J,'Schedule 2H Adjustments'!$A60)</f>
        <v>0</v>
      </c>
      <c r="H60" s="309">
        <f t="shared" si="0"/>
        <v>0</v>
      </c>
      <c r="I60" s="68">
        <f>IFERROR(F60*'As-Filed Schedule 1'!$E$103,0)</f>
        <v>0</v>
      </c>
      <c r="J60" s="310">
        <f>IFERROR(H60*'Adjusted Schedule 1'!$E$104,0)</f>
        <v>0</v>
      </c>
      <c r="K60" s="68">
        <f t="shared" si="1"/>
        <v>0</v>
      </c>
      <c r="L60" s="310">
        <f t="shared" si="2"/>
        <v>0</v>
      </c>
      <c r="N60" s="117">
        <f>'As-Filed Schedule 2H'!J60</f>
        <v>0</v>
      </c>
      <c r="O60" s="313">
        <f>SUMIFS(Adjustments!$G:$G,Adjustments!$H:$H,"2H",Adjustments!$I:$I,'Schedule 2H Adjustments'!$N$12,Adjustments!$J:$J,'Schedule 2H Adjustments'!$A60)</f>
        <v>0</v>
      </c>
      <c r="P60" s="309">
        <f t="shared" si="3"/>
        <v>0</v>
      </c>
      <c r="Q60" s="68">
        <f>IFERROR(N60*'As-Filed Schedule 1'!$E$103,0)</f>
        <v>0</v>
      </c>
      <c r="R60" s="68">
        <f>IFERROR(P60*'Adjusted Schedule 1'!$E$104,0)</f>
        <v>0</v>
      </c>
      <c r="S60" s="68">
        <f t="shared" si="4"/>
        <v>0</v>
      </c>
      <c r="T60" s="310">
        <f t="shared" si="5"/>
        <v>0</v>
      </c>
      <c r="V60" s="120">
        <f>'As-Filed Schedule 2H'!N60</f>
        <v>0</v>
      </c>
      <c r="W60" s="313">
        <f>SUMIFS(Adjustments!$G:$G,Adjustments!$H:$H,"2H",Adjustments!$I:$I,'Schedule 2H Adjustments'!$V$12,Adjustments!$J:$J,'Schedule 2H Adjustments'!$A60)</f>
        <v>0</v>
      </c>
      <c r="X60" s="309">
        <f t="shared" si="6"/>
        <v>0</v>
      </c>
      <c r="Y60" s="120">
        <f>'As-Filed Schedule 2H'!O60</f>
        <v>0</v>
      </c>
      <c r="Z60" s="313">
        <f>SUMIFS(Adjustments!$G:$G,Adjustments!$H:$H,"2H",Adjustments!$I:$I,'Schedule 2H Adjustments'!$Y$12,Adjustments!$J:$J,'Schedule 2H Adjustments'!$A60)</f>
        <v>0</v>
      </c>
      <c r="AA60" s="309">
        <f t="shared" si="7"/>
        <v>0</v>
      </c>
    </row>
    <row r="61" spans="1:27" x14ac:dyDescent="0.35">
      <c r="A61" s="24">
        <v>47</v>
      </c>
      <c r="B61" s="507" t="str">
        <f>IF('As-Filed Schedule 2H'!B61:D61=0,"",'As-Filed Schedule 2H'!B61:D61)</f>
        <v/>
      </c>
      <c r="C61" s="507"/>
      <c r="D61" s="507"/>
      <c r="F61" s="117">
        <f>'As-Filed Schedule 2H'!F61</f>
        <v>0</v>
      </c>
      <c r="G61" s="313">
        <f>SUMIFS(Adjustments!$G:$G,Adjustments!$H:$H,"2H",Adjustments!$I:$I,'Schedule 2H Adjustments'!$F$12,Adjustments!$J:$J,'Schedule 2H Adjustments'!$A61)</f>
        <v>0</v>
      </c>
      <c r="H61" s="309">
        <f t="shared" si="0"/>
        <v>0</v>
      </c>
      <c r="I61" s="68">
        <f>IFERROR(F61*'As-Filed Schedule 1'!$E$103,0)</f>
        <v>0</v>
      </c>
      <c r="J61" s="310">
        <f>IFERROR(H61*'Adjusted Schedule 1'!$E$104,0)</f>
        <v>0</v>
      </c>
      <c r="K61" s="68">
        <f t="shared" si="1"/>
        <v>0</v>
      </c>
      <c r="L61" s="310">
        <f t="shared" si="2"/>
        <v>0</v>
      </c>
      <c r="N61" s="117">
        <f>'As-Filed Schedule 2H'!J61</f>
        <v>0</v>
      </c>
      <c r="O61" s="313">
        <f>SUMIFS(Adjustments!$G:$G,Adjustments!$H:$H,"2H",Adjustments!$I:$I,'Schedule 2H Adjustments'!$N$12,Adjustments!$J:$J,'Schedule 2H Adjustments'!$A61)</f>
        <v>0</v>
      </c>
      <c r="P61" s="309">
        <f t="shared" si="3"/>
        <v>0</v>
      </c>
      <c r="Q61" s="68">
        <f>IFERROR(N61*'As-Filed Schedule 1'!$E$103,0)</f>
        <v>0</v>
      </c>
      <c r="R61" s="68">
        <f>IFERROR(P61*'Adjusted Schedule 1'!$E$104,0)</f>
        <v>0</v>
      </c>
      <c r="S61" s="68">
        <f t="shared" si="4"/>
        <v>0</v>
      </c>
      <c r="T61" s="310">
        <f t="shared" si="5"/>
        <v>0</v>
      </c>
      <c r="V61" s="120">
        <f>'As-Filed Schedule 2H'!N61</f>
        <v>0</v>
      </c>
      <c r="W61" s="313">
        <f>SUMIFS(Adjustments!$G:$G,Adjustments!$H:$H,"2H",Adjustments!$I:$I,'Schedule 2H Adjustments'!$V$12,Adjustments!$J:$J,'Schedule 2H Adjustments'!$A61)</f>
        <v>0</v>
      </c>
      <c r="X61" s="309">
        <f t="shared" si="6"/>
        <v>0</v>
      </c>
      <c r="Y61" s="120">
        <f>'As-Filed Schedule 2H'!O61</f>
        <v>0</v>
      </c>
      <c r="Z61" s="313">
        <f>SUMIFS(Adjustments!$G:$G,Adjustments!$H:$H,"2H",Adjustments!$I:$I,'Schedule 2H Adjustments'!$Y$12,Adjustments!$J:$J,'Schedule 2H Adjustments'!$A61)</f>
        <v>0</v>
      </c>
      <c r="AA61" s="309">
        <f t="shared" si="7"/>
        <v>0</v>
      </c>
    </row>
    <row r="62" spans="1:27" x14ac:dyDescent="0.35">
      <c r="A62" s="24">
        <v>48</v>
      </c>
      <c r="B62" s="507" t="str">
        <f>IF('As-Filed Schedule 2H'!B62:D62=0,"",'As-Filed Schedule 2H'!B62:D62)</f>
        <v/>
      </c>
      <c r="C62" s="507"/>
      <c r="D62" s="507"/>
      <c r="F62" s="117">
        <f>'As-Filed Schedule 2H'!F62</f>
        <v>0</v>
      </c>
      <c r="G62" s="313">
        <f>SUMIFS(Adjustments!$G:$G,Adjustments!$H:$H,"2H",Adjustments!$I:$I,'Schedule 2H Adjustments'!$F$12,Adjustments!$J:$J,'Schedule 2H Adjustments'!$A62)</f>
        <v>0</v>
      </c>
      <c r="H62" s="309">
        <f t="shared" si="0"/>
        <v>0</v>
      </c>
      <c r="I62" s="68">
        <f>IFERROR(F62*'As-Filed Schedule 1'!$E$103,0)</f>
        <v>0</v>
      </c>
      <c r="J62" s="310">
        <f>IFERROR(H62*'Adjusted Schedule 1'!$E$104,0)</f>
        <v>0</v>
      </c>
      <c r="K62" s="68">
        <f t="shared" si="1"/>
        <v>0</v>
      </c>
      <c r="L62" s="310">
        <f t="shared" si="2"/>
        <v>0</v>
      </c>
      <c r="N62" s="117">
        <f>'As-Filed Schedule 2H'!J62</f>
        <v>0</v>
      </c>
      <c r="O62" s="313">
        <f>SUMIFS(Adjustments!$G:$G,Adjustments!$H:$H,"2H",Adjustments!$I:$I,'Schedule 2H Adjustments'!$N$12,Adjustments!$J:$J,'Schedule 2H Adjustments'!$A62)</f>
        <v>0</v>
      </c>
      <c r="P62" s="309">
        <f t="shared" si="3"/>
        <v>0</v>
      </c>
      <c r="Q62" s="68">
        <f>IFERROR(N62*'As-Filed Schedule 1'!$E$103,0)</f>
        <v>0</v>
      </c>
      <c r="R62" s="68">
        <f>IFERROR(P62*'Adjusted Schedule 1'!$E$104,0)</f>
        <v>0</v>
      </c>
      <c r="S62" s="68">
        <f t="shared" si="4"/>
        <v>0</v>
      </c>
      <c r="T62" s="310">
        <f t="shared" si="5"/>
        <v>0</v>
      </c>
      <c r="V62" s="120">
        <f>'As-Filed Schedule 2H'!N62</f>
        <v>0</v>
      </c>
      <c r="W62" s="313">
        <f>SUMIFS(Adjustments!$G:$G,Adjustments!$H:$H,"2H",Adjustments!$I:$I,'Schedule 2H Adjustments'!$V$12,Adjustments!$J:$J,'Schedule 2H Adjustments'!$A62)</f>
        <v>0</v>
      </c>
      <c r="X62" s="309">
        <f t="shared" si="6"/>
        <v>0</v>
      </c>
      <c r="Y62" s="120">
        <f>'As-Filed Schedule 2H'!O62</f>
        <v>0</v>
      </c>
      <c r="Z62" s="313">
        <f>SUMIFS(Adjustments!$G:$G,Adjustments!$H:$H,"2H",Adjustments!$I:$I,'Schedule 2H Adjustments'!$Y$12,Adjustments!$J:$J,'Schedule 2H Adjustments'!$A62)</f>
        <v>0</v>
      </c>
      <c r="AA62" s="309">
        <f t="shared" si="7"/>
        <v>0</v>
      </c>
    </row>
    <row r="63" spans="1:27" x14ac:dyDescent="0.35">
      <c r="A63" s="24">
        <v>49</v>
      </c>
      <c r="B63" s="507" t="str">
        <f>IF('As-Filed Schedule 2H'!B63:D63=0,"",'As-Filed Schedule 2H'!B63:D63)</f>
        <v/>
      </c>
      <c r="C63" s="507"/>
      <c r="D63" s="507"/>
      <c r="F63" s="117">
        <f>'As-Filed Schedule 2H'!F63</f>
        <v>0</v>
      </c>
      <c r="G63" s="313">
        <f>SUMIFS(Adjustments!$G:$G,Adjustments!$H:$H,"2H",Adjustments!$I:$I,'Schedule 2H Adjustments'!$F$12,Adjustments!$J:$J,'Schedule 2H Adjustments'!$A63)</f>
        <v>0</v>
      </c>
      <c r="H63" s="309">
        <f t="shared" si="0"/>
        <v>0</v>
      </c>
      <c r="I63" s="68">
        <f>IFERROR(F63*'As-Filed Schedule 1'!$E$103,0)</f>
        <v>0</v>
      </c>
      <c r="J63" s="310">
        <f>IFERROR(H63*'Adjusted Schedule 1'!$E$104,0)</f>
        <v>0</v>
      </c>
      <c r="K63" s="68">
        <f t="shared" si="1"/>
        <v>0</v>
      </c>
      <c r="L63" s="310">
        <f t="shared" si="2"/>
        <v>0</v>
      </c>
      <c r="N63" s="117">
        <f>'As-Filed Schedule 2H'!J63</f>
        <v>0</v>
      </c>
      <c r="O63" s="313">
        <f>SUMIFS(Adjustments!$G:$G,Adjustments!$H:$H,"2H",Adjustments!$I:$I,'Schedule 2H Adjustments'!$N$12,Adjustments!$J:$J,'Schedule 2H Adjustments'!$A63)</f>
        <v>0</v>
      </c>
      <c r="P63" s="309">
        <f t="shared" si="3"/>
        <v>0</v>
      </c>
      <c r="Q63" s="68">
        <f>IFERROR(N63*'As-Filed Schedule 1'!$E$103,0)</f>
        <v>0</v>
      </c>
      <c r="R63" s="68">
        <f>IFERROR(P63*'Adjusted Schedule 1'!$E$104,0)</f>
        <v>0</v>
      </c>
      <c r="S63" s="68">
        <f t="shared" si="4"/>
        <v>0</v>
      </c>
      <c r="T63" s="310">
        <f t="shared" si="5"/>
        <v>0</v>
      </c>
      <c r="V63" s="120">
        <f>'As-Filed Schedule 2H'!N63</f>
        <v>0</v>
      </c>
      <c r="W63" s="313">
        <f>SUMIFS(Adjustments!$G:$G,Adjustments!$H:$H,"2H",Adjustments!$I:$I,'Schedule 2H Adjustments'!$V$12,Adjustments!$J:$J,'Schedule 2H Adjustments'!$A63)</f>
        <v>0</v>
      </c>
      <c r="X63" s="309">
        <f t="shared" si="6"/>
        <v>0</v>
      </c>
      <c r="Y63" s="120">
        <f>'As-Filed Schedule 2H'!O63</f>
        <v>0</v>
      </c>
      <c r="Z63" s="313">
        <f>SUMIFS(Adjustments!$G:$G,Adjustments!$H:$H,"2H",Adjustments!$I:$I,'Schedule 2H Adjustments'!$Y$12,Adjustments!$J:$J,'Schedule 2H Adjustments'!$A63)</f>
        <v>0</v>
      </c>
      <c r="AA63" s="309">
        <f t="shared" si="7"/>
        <v>0</v>
      </c>
    </row>
    <row r="64" spans="1:27" x14ac:dyDescent="0.35">
      <c r="A64" s="24">
        <v>50</v>
      </c>
      <c r="B64" s="507" t="str">
        <f>IF('As-Filed Schedule 2H'!B64:D64=0,"",'As-Filed Schedule 2H'!B64:D64)</f>
        <v/>
      </c>
      <c r="C64" s="507"/>
      <c r="D64" s="507"/>
      <c r="F64" s="117">
        <f>'As-Filed Schedule 2H'!F64</f>
        <v>0</v>
      </c>
      <c r="G64" s="313">
        <f>SUMIFS(Adjustments!$G:$G,Adjustments!$H:$H,"2H",Adjustments!$I:$I,'Schedule 2H Adjustments'!$F$12,Adjustments!$J:$J,'Schedule 2H Adjustments'!$A64)</f>
        <v>0</v>
      </c>
      <c r="H64" s="309">
        <f t="shared" si="0"/>
        <v>0</v>
      </c>
      <c r="I64" s="68">
        <f>IFERROR(F64*'As-Filed Schedule 1'!$E$103,0)</f>
        <v>0</v>
      </c>
      <c r="J64" s="310">
        <f>IFERROR(H64*'Adjusted Schedule 1'!$E$104,0)</f>
        <v>0</v>
      </c>
      <c r="K64" s="68">
        <f t="shared" si="1"/>
        <v>0</v>
      </c>
      <c r="L64" s="310">
        <f t="shared" si="2"/>
        <v>0</v>
      </c>
      <c r="N64" s="117">
        <f>'As-Filed Schedule 2H'!J64</f>
        <v>0</v>
      </c>
      <c r="O64" s="313">
        <f>SUMIFS(Adjustments!$G:$G,Adjustments!$H:$H,"2H",Adjustments!$I:$I,'Schedule 2H Adjustments'!$N$12,Adjustments!$J:$J,'Schedule 2H Adjustments'!$A64)</f>
        <v>0</v>
      </c>
      <c r="P64" s="309">
        <f t="shared" si="3"/>
        <v>0</v>
      </c>
      <c r="Q64" s="68">
        <f>IFERROR(N64*'As-Filed Schedule 1'!$E$103,0)</f>
        <v>0</v>
      </c>
      <c r="R64" s="68">
        <f>IFERROR(P64*'Adjusted Schedule 1'!$E$104,0)</f>
        <v>0</v>
      </c>
      <c r="S64" s="68">
        <f t="shared" si="4"/>
        <v>0</v>
      </c>
      <c r="T64" s="310">
        <f t="shared" si="5"/>
        <v>0</v>
      </c>
      <c r="V64" s="120">
        <f>'As-Filed Schedule 2H'!N64</f>
        <v>0</v>
      </c>
      <c r="W64" s="313">
        <f>SUMIFS(Adjustments!$G:$G,Adjustments!$H:$H,"2H",Adjustments!$I:$I,'Schedule 2H Adjustments'!$V$12,Adjustments!$J:$J,'Schedule 2H Adjustments'!$A64)</f>
        <v>0</v>
      </c>
      <c r="X64" s="309">
        <f t="shared" si="6"/>
        <v>0</v>
      </c>
      <c r="Y64" s="120">
        <f>'As-Filed Schedule 2H'!O64</f>
        <v>0</v>
      </c>
      <c r="Z64" s="313">
        <f>SUMIFS(Adjustments!$G:$G,Adjustments!$H:$H,"2H",Adjustments!$I:$I,'Schedule 2H Adjustments'!$Y$12,Adjustments!$J:$J,'Schedule 2H Adjustments'!$A64)</f>
        <v>0</v>
      </c>
      <c r="AA64" s="309">
        <f t="shared" si="7"/>
        <v>0</v>
      </c>
    </row>
    <row r="65" spans="1:27" x14ac:dyDescent="0.35">
      <c r="A65" s="24">
        <v>51</v>
      </c>
      <c r="B65" s="507" t="str">
        <f>IF('As-Filed Schedule 2H'!B65:D65=0,"",'As-Filed Schedule 2H'!B65:D65)</f>
        <v/>
      </c>
      <c r="C65" s="507"/>
      <c r="D65" s="507"/>
      <c r="F65" s="117">
        <f>'As-Filed Schedule 2H'!F65</f>
        <v>0</v>
      </c>
      <c r="G65" s="313">
        <f>SUMIFS(Adjustments!$G:$G,Adjustments!$H:$H,"2H",Adjustments!$I:$I,'Schedule 2H Adjustments'!$F$12,Adjustments!$J:$J,'Schedule 2H Adjustments'!$A65)</f>
        <v>0</v>
      </c>
      <c r="H65" s="309">
        <f t="shared" si="0"/>
        <v>0</v>
      </c>
      <c r="I65" s="68">
        <f>IFERROR(F65*'As-Filed Schedule 1'!$E$103,0)</f>
        <v>0</v>
      </c>
      <c r="J65" s="310">
        <f>IFERROR(H65*'Adjusted Schedule 1'!$E$104,0)</f>
        <v>0</v>
      </c>
      <c r="K65" s="68">
        <f t="shared" si="1"/>
        <v>0</v>
      </c>
      <c r="L65" s="310">
        <f t="shared" si="2"/>
        <v>0</v>
      </c>
      <c r="N65" s="117">
        <f>'As-Filed Schedule 2H'!J65</f>
        <v>0</v>
      </c>
      <c r="O65" s="313">
        <f>SUMIFS(Adjustments!$G:$G,Adjustments!$H:$H,"2H",Adjustments!$I:$I,'Schedule 2H Adjustments'!$N$12,Adjustments!$J:$J,'Schedule 2H Adjustments'!$A65)</f>
        <v>0</v>
      </c>
      <c r="P65" s="309">
        <f t="shared" si="3"/>
        <v>0</v>
      </c>
      <c r="Q65" s="68">
        <f>IFERROR(N65*'As-Filed Schedule 1'!$E$103,0)</f>
        <v>0</v>
      </c>
      <c r="R65" s="68">
        <f>IFERROR(P65*'Adjusted Schedule 1'!$E$104,0)</f>
        <v>0</v>
      </c>
      <c r="S65" s="68">
        <f t="shared" si="4"/>
        <v>0</v>
      </c>
      <c r="T65" s="310">
        <f t="shared" si="5"/>
        <v>0</v>
      </c>
      <c r="V65" s="120">
        <f>'As-Filed Schedule 2H'!N65</f>
        <v>0</v>
      </c>
      <c r="W65" s="313">
        <f>SUMIFS(Adjustments!$G:$G,Adjustments!$H:$H,"2H",Adjustments!$I:$I,'Schedule 2H Adjustments'!$V$12,Adjustments!$J:$J,'Schedule 2H Adjustments'!$A65)</f>
        <v>0</v>
      </c>
      <c r="X65" s="309">
        <f t="shared" si="6"/>
        <v>0</v>
      </c>
      <c r="Y65" s="120">
        <f>'As-Filed Schedule 2H'!O65</f>
        <v>0</v>
      </c>
      <c r="Z65" s="313">
        <f>SUMIFS(Adjustments!$G:$G,Adjustments!$H:$H,"2H",Adjustments!$I:$I,'Schedule 2H Adjustments'!$Y$12,Adjustments!$J:$J,'Schedule 2H Adjustments'!$A65)</f>
        <v>0</v>
      </c>
      <c r="AA65" s="309">
        <f t="shared" si="7"/>
        <v>0</v>
      </c>
    </row>
    <row r="66" spans="1:27" x14ac:dyDescent="0.35">
      <c r="A66" s="24">
        <v>52</v>
      </c>
      <c r="B66" s="507" t="str">
        <f>IF('As-Filed Schedule 2H'!B66:D66=0,"",'As-Filed Schedule 2H'!B66:D66)</f>
        <v/>
      </c>
      <c r="C66" s="507"/>
      <c r="D66" s="507"/>
      <c r="F66" s="117">
        <f>'As-Filed Schedule 2H'!F66</f>
        <v>0</v>
      </c>
      <c r="G66" s="313">
        <f>SUMIFS(Adjustments!$G:$G,Adjustments!$H:$H,"2H",Adjustments!$I:$I,'Schedule 2H Adjustments'!$F$12,Adjustments!$J:$J,'Schedule 2H Adjustments'!$A66)</f>
        <v>0</v>
      </c>
      <c r="H66" s="309">
        <f t="shared" si="0"/>
        <v>0</v>
      </c>
      <c r="I66" s="68">
        <f>IFERROR(F66*'As-Filed Schedule 1'!$E$103,0)</f>
        <v>0</v>
      </c>
      <c r="J66" s="310">
        <f>IFERROR(H66*'Adjusted Schedule 1'!$E$104,0)</f>
        <v>0</v>
      </c>
      <c r="K66" s="68">
        <f t="shared" si="1"/>
        <v>0</v>
      </c>
      <c r="L66" s="310">
        <f t="shared" si="2"/>
        <v>0</v>
      </c>
      <c r="N66" s="117">
        <f>'As-Filed Schedule 2H'!J66</f>
        <v>0</v>
      </c>
      <c r="O66" s="313">
        <f>SUMIFS(Adjustments!$G:$G,Adjustments!$H:$H,"2H",Adjustments!$I:$I,'Schedule 2H Adjustments'!$N$12,Adjustments!$J:$J,'Schedule 2H Adjustments'!$A66)</f>
        <v>0</v>
      </c>
      <c r="P66" s="309">
        <f t="shared" si="3"/>
        <v>0</v>
      </c>
      <c r="Q66" s="68">
        <f>IFERROR(N66*'As-Filed Schedule 1'!$E$103,0)</f>
        <v>0</v>
      </c>
      <c r="R66" s="68">
        <f>IFERROR(P66*'Adjusted Schedule 1'!$E$104,0)</f>
        <v>0</v>
      </c>
      <c r="S66" s="68">
        <f t="shared" si="4"/>
        <v>0</v>
      </c>
      <c r="T66" s="310">
        <f t="shared" si="5"/>
        <v>0</v>
      </c>
      <c r="V66" s="120">
        <f>'As-Filed Schedule 2H'!N66</f>
        <v>0</v>
      </c>
      <c r="W66" s="313">
        <f>SUMIFS(Adjustments!$G:$G,Adjustments!$H:$H,"2H",Adjustments!$I:$I,'Schedule 2H Adjustments'!$V$12,Adjustments!$J:$J,'Schedule 2H Adjustments'!$A66)</f>
        <v>0</v>
      </c>
      <c r="X66" s="309">
        <f t="shared" si="6"/>
        <v>0</v>
      </c>
      <c r="Y66" s="120">
        <f>'As-Filed Schedule 2H'!O66</f>
        <v>0</v>
      </c>
      <c r="Z66" s="313">
        <f>SUMIFS(Adjustments!$G:$G,Adjustments!$H:$H,"2H",Adjustments!$I:$I,'Schedule 2H Adjustments'!$Y$12,Adjustments!$J:$J,'Schedule 2H Adjustments'!$A66)</f>
        <v>0</v>
      </c>
      <c r="AA66" s="309">
        <f t="shared" si="7"/>
        <v>0</v>
      </c>
    </row>
    <row r="67" spans="1:27" x14ac:dyDescent="0.35">
      <c r="A67" s="24">
        <v>53</v>
      </c>
      <c r="B67" s="507" t="str">
        <f>IF('As-Filed Schedule 2H'!B67:D67=0,"",'As-Filed Schedule 2H'!B67:D67)</f>
        <v/>
      </c>
      <c r="C67" s="507"/>
      <c r="D67" s="507"/>
      <c r="F67" s="117">
        <f>'As-Filed Schedule 2H'!F67</f>
        <v>0</v>
      </c>
      <c r="G67" s="313">
        <f>SUMIFS(Adjustments!$G:$G,Adjustments!$H:$H,"2H",Adjustments!$I:$I,'Schedule 2H Adjustments'!$F$12,Adjustments!$J:$J,'Schedule 2H Adjustments'!$A67)</f>
        <v>0</v>
      </c>
      <c r="H67" s="309">
        <f t="shared" si="0"/>
        <v>0</v>
      </c>
      <c r="I67" s="68">
        <f>IFERROR(F67*'As-Filed Schedule 1'!$E$103,0)</f>
        <v>0</v>
      </c>
      <c r="J67" s="310">
        <f>IFERROR(H67*'Adjusted Schedule 1'!$E$104,0)</f>
        <v>0</v>
      </c>
      <c r="K67" s="68">
        <f t="shared" si="1"/>
        <v>0</v>
      </c>
      <c r="L67" s="310">
        <f t="shared" si="2"/>
        <v>0</v>
      </c>
      <c r="N67" s="117">
        <f>'As-Filed Schedule 2H'!J67</f>
        <v>0</v>
      </c>
      <c r="O67" s="313">
        <f>SUMIFS(Adjustments!$G:$G,Adjustments!$H:$H,"2H",Adjustments!$I:$I,'Schedule 2H Adjustments'!$N$12,Adjustments!$J:$J,'Schedule 2H Adjustments'!$A67)</f>
        <v>0</v>
      </c>
      <c r="P67" s="309">
        <f t="shared" si="3"/>
        <v>0</v>
      </c>
      <c r="Q67" s="68">
        <f>IFERROR(N67*'As-Filed Schedule 1'!$E$103,0)</f>
        <v>0</v>
      </c>
      <c r="R67" s="68">
        <f>IFERROR(P67*'Adjusted Schedule 1'!$E$104,0)</f>
        <v>0</v>
      </c>
      <c r="S67" s="68">
        <f t="shared" si="4"/>
        <v>0</v>
      </c>
      <c r="T67" s="310">
        <f t="shared" si="5"/>
        <v>0</v>
      </c>
      <c r="V67" s="120">
        <f>'As-Filed Schedule 2H'!N67</f>
        <v>0</v>
      </c>
      <c r="W67" s="313">
        <f>SUMIFS(Adjustments!$G:$G,Adjustments!$H:$H,"2H",Adjustments!$I:$I,'Schedule 2H Adjustments'!$V$12,Adjustments!$J:$J,'Schedule 2H Adjustments'!$A67)</f>
        <v>0</v>
      </c>
      <c r="X67" s="309">
        <f t="shared" si="6"/>
        <v>0</v>
      </c>
      <c r="Y67" s="120">
        <f>'As-Filed Schedule 2H'!O67</f>
        <v>0</v>
      </c>
      <c r="Z67" s="313">
        <f>SUMIFS(Adjustments!$G:$G,Adjustments!$H:$H,"2H",Adjustments!$I:$I,'Schedule 2H Adjustments'!$Y$12,Adjustments!$J:$J,'Schedule 2H Adjustments'!$A67)</f>
        <v>0</v>
      </c>
      <c r="AA67" s="309">
        <f t="shared" si="7"/>
        <v>0</v>
      </c>
    </row>
    <row r="68" spans="1:27" x14ac:dyDescent="0.35">
      <c r="A68" s="24">
        <v>54</v>
      </c>
      <c r="B68" s="507" t="str">
        <f>IF('As-Filed Schedule 2H'!B68:D68=0,"",'As-Filed Schedule 2H'!B68:D68)</f>
        <v/>
      </c>
      <c r="C68" s="507"/>
      <c r="D68" s="507"/>
      <c r="F68" s="117">
        <f>'As-Filed Schedule 2H'!F68</f>
        <v>0</v>
      </c>
      <c r="G68" s="313">
        <f>SUMIFS(Adjustments!$G:$G,Adjustments!$H:$H,"2H",Adjustments!$I:$I,'Schedule 2H Adjustments'!$F$12,Adjustments!$J:$J,'Schedule 2H Adjustments'!$A68)</f>
        <v>0</v>
      </c>
      <c r="H68" s="309">
        <f t="shared" si="0"/>
        <v>0</v>
      </c>
      <c r="I68" s="68">
        <f>IFERROR(F68*'As-Filed Schedule 1'!$E$103,0)</f>
        <v>0</v>
      </c>
      <c r="J68" s="310">
        <f>IFERROR(H68*'Adjusted Schedule 1'!$E$104,0)</f>
        <v>0</v>
      </c>
      <c r="K68" s="68">
        <f t="shared" si="1"/>
        <v>0</v>
      </c>
      <c r="L68" s="310">
        <f t="shared" si="2"/>
        <v>0</v>
      </c>
      <c r="N68" s="117">
        <f>'As-Filed Schedule 2H'!J68</f>
        <v>0</v>
      </c>
      <c r="O68" s="313">
        <f>SUMIFS(Adjustments!$G:$G,Adjustments!$H:$H,"2H",Adjustments!$I:$I,'Schedule 2H Adjustments'!$N$12,Adjustments!$J:$J,'Schedule 2H Adjustments'!$A68)</f>
        <v>0</v>
      </c>
      <c r="P68" s="309">
        <f t="shared" si="3"/>
        <v>0</v>
      </c>
      <c r="Q68" s="68">
        <f>IFERROR(N68*'As-Filed Schedule 1'!$E$103,0)</f>
        <v>0</v>
      </c>
      <c r="R68" s="68">
        <f>IFERROR(P68*'Adjusted Schedule 1'!$E$104,0)</f>
        <v>0</v>
      </c>
      <c r="S68" s="68">
        <f t="shared" si="4"/>
        <v>0</v>
      </c>
      <c r="T68" s="310">
        <f t="shared" si="5"/>
        <v>0</v>
      </c>
      <c r="V68" s="120">
        <f>'As-Filed Schedule 2H'!N68</f>
        <v>0</v>
      </c>
      <c r="W68" s="313">
        <f>SUMIFS(Adjustments!$G:$G,Adjustments!$H:$H,"2H",Adjustments!$I:$I,'Schedule 2H Adjustments'!$V$12,Adjustments!$J:$J,'Schedule 2H Adjustments'!$A68)</f>
        <v>0</v>
      </c>
      <c r="X68" s="309">
        <f t="shared" si="6"/>
        <v>0</v>
      </c>
      <c r="Y68" s="120">
        <f>'As-Filed Schedule 2H'!O68</f>
        <v>0</v>
      </c>
      <c r="Z68" s="313">
        <f>SUMIFS(Adjustments!$G:$G,Adjustments!$H:$H,"2H",Adjustments!$I:$I,'Schedule 2H Adjustments'!$Y$12,Adjustments!$J:$J,'Schedule 2H Adjustments'!$A68)</f>
        <v>0</v>
      </c>
      <c r="AA68" s="309">
        <f t="shared" si="7"/>
        <v>0</v>
      </c>
    </row>
    <row r="69" spans="1:27" x14ac:dyDescent="0.35">
      <c r="A69" s="24">
        <v>55</v>
      </c>
      <c r="B69" s="507" t="str">
        <f>IF('As-Filed Schedule 2H'!B69:D69=0,"",'As-Filed Schedule 2H'!B69:D69)</f>
        <v/>
      </c>
      <c r="C69" s="507"/>
      <c r="D69" s="507"/>
      <c r="F69" s="117">
        <f>'As-Filed Schedule 2H'!F69</f>
        <v>0</v>
      </c>
      <c r="G69" s="313">
        <f>SUMIFS(Adjustments!$G:$G,Adjustments!$H:$H,"2H",Adjustments!$I:$I,'Schedule 2H Adjustments'!$F$12,Adjustments!$J:$J,'Schedule 2H Adjustments'!$A69)</f>
        <v>0</v>
      </c>
      <c r="H69" s="309">
        <f t="shared" si="0"/>
        <v>0</v>
      </c>
      <c r="I69" s="68">
        <f>IFERROR(F69*'As-Filed Schedule 1'!$E$103,0)</f>
        <v>0</v>
      </c>
      <c r="J69" s="310">
        <f>IFERROR(H69*'Adjusted Schedule 1'!$E$104,0)</f>
        <v>0</v>
      </c>
      <c r="K69" s="68">
        <f t="shared" si="1"/>
        <v>0</v>
      </c>
      <c r="L69" s="310">
        <f t="shared" si="2"/>
        <v>0</v>
      </c>
      <c r="N69" s="117">
        <f>'As-Filed Schedule 2H'!J69</f>
        <v>0</v>
      </c>
      <c r="O69" s="313">
        <f>SUMIFS(Adjustments!$G:$G,Adjustments!$H:$H,"2H",Adjustments!$I:$I,'Schedule 2H Adjustments'!$N$12,Adjustments!$J:$J,'Schedule 2H Adjustments'!$A69)</f>
        <v>0</v>
      </c>
      <c r="P69" s="309">
        <f t="shared" si="3"/>
        <v>0</v>
      </c>
      <c r="Q69" s="68">
        <f>IFERROR(N69*'As-Filed Schedule 1'!$E$103,0)</f>
        <v>0</v>
      </c>
      <c r="R69" s="68">
        <f>IFERROR(P69*'Adjusted Schedule 1'!$E$104,0)</f>
        <v>0</v>
      </c>
      <c r="S69" s="68">
        <f t="shared" si="4"/>
        <v>0</v>
      </c>
      <c r="T69" s="310">
        <f t="shared" si="5"/>
        <v>0</v>
      </c>
      <c r="V69" s="120">
        <f>'As-Filed Schedule 2H'!N69</f>
        <v>0</v>
      </c>
      <c r="W69" s="313">
        <f>SUMIFS(Adjustments!$G:$G,Adjustments!$H:$H,"2H",Adjustments!$I:$I,'Schedule 2H Adjustments'!$V$12,Adjustments!$J:$J,'Schedule 2H Adjustments'!$A69)</f>
        <v>0</v>
      </c>
      <c r="X69" s="309">
        <f t="shared" si="6"/>
        <v>0</v>
      </c>
      <c r="Y69" s="120">
        <f>'As-Filed Schedule 2H'!O69</f>
        <v>0</v>
      </c>
      <c r="Z69" s="313">
        <f>SUMIFS(Adjustments!$G:$G,Adjustments!$H:$H,"2H",Adjustments!$I:$I,'Schedule 2H Adjustments'!$Y$12,Adjustments!$J:$J,'Schedule 2H Adjustments'!$A69)</f>
        <v>0</v>
      </c>
      <c r="AA69" s="309">
        <f t="shared" si="7"/>
        <v>0</v>
      </c>
    </row>
    <row r="70" spans="1:27" x14ac:dyDescent="0.35">
      <c r="A70" s="24">
        <v>56</v>
      </c>
      <c r="B70" s="507" t="str">
        <f>IF('As-Filed Schedule 2H'!B70:D70=0,"",'As-Filed Schedule 2H'!B70:D70)</f>
        <v/>
      </c>
      <c r="C70" s="507"/>
      <c r="D70" s="507"/>
      <c r="F70" s="117">
        <f>'As-Filed Schedule 2H'!F70</f>
        <v>0</v>
      </c>
      <c r="G70" s="313">
        <f>SUMIFS(Adjustments!$G:$G,Adjustments!$H:$H,"2H",Adjustments!$I:$I,'Schedule 2H Adjustments'!$F$12,Adjustments!$J:$J,'Schedule 2H Adjustments'!$A70)</f>
        <v>0</v>
      </c>
      <c r="H70" s="309">
        <f t="shared" si="0"/>
        <v>0</v>
      </c>
      <c r="I70" s="68">
        <f>IFERROR(F70*'As-Filed Schedule 1'!$E$103,0)</f>
        <v>0</v>
      </c>
      <c r="J70" s="310">
        <f>IFERROR(H70*'Adjusted Schedule 1'!$E$104,0)</f>
        <v>0</v>
      </c>
      <c r="K70" s="68">
        <f t="shared" si="1"/>
        <v>0</v>
      </c>
      <c r="L70" s="310">
        <f t="shared" si="2"/>
        <v>0</v>
      </c>
      <c r="N70" s="117">
        <f>'As-Filed Schedule 2H'!J70</f>
        <v>0</v>
      </c>
      <c r="O70" s="313">
        <f>SUMIFS(Adjustments!$G:$G,Adjustments!$H:$H,"2H",Adjustments!$I:$I,'Schedule 2H Adjustments'!$N$12,Adjustments!$J:$J,'Schedule 2H Adjustments'!$A70)</f>
        <v>0</v>
      </c>
      <c r="P70" s="309">
        <f t="shared" si="3"/>
        <v>0</v>
      </c>
      <c r="Q70" s="68">
        <f>IFERROR(N70*'As-Filed Schedule 1'!$E$103,0)</f>
        <v>0</v>
      </c>
      <c r="R70" s="68">
        <f>IFERROR(P70*'Adjusted Schedule 1'!$E$104,0)</f>
        <v>0</v>
      </c>
      <c r="S70" s="68">
        <f t="shared" si="4"/>
        <v>0</v>
      </c>
      <c r="T70" s="310">
        <f t="shared" si="5"/>
        <v>0</v>
      </c>
      <c r="V70" s="120">
        <f>'As-Filed Schedule 2H'!N70</f>
        <v>0</v>
      </c>
      <c r="W70" s="313">
        <f>SUMIFS(Adjustments!$G:$G,Adjustments!$H:$H,"2H",Adjustments!$I:$I,'Schedule 2H Adjustments'!$V$12,Adjustments!$J:$J,'Schedule 2H Adjustments'!$A70)</f>
        <v>0</v>
      </c>
      <c r="X70" s="309">
        <f t="shared" si="6"/>
        <v>0</v>
      </c>
      <c r="Y70" s="120">
        <f>'As-Filed Schedule 2H'!O70</f>
        <v>0</v>
      </c>
      <c r="Z70" s="313">
        <f>SUMIFS(Adjustments!$G:$G,Adjustments!$H:$H,"2H",Adjustments!$I:$I,'Schedule 2H Adjustments'!$Y$12,Adjustments!$J:$J,'Schedule 2H Adjustments'!$A70)</f>
        <v>0</v>
      </c>
      <c r="AA70" s="309">
        <f t="shared" si="7"/>
        <v>0</v>
      </c>
    </row>
    <row r="71" spans="1:27" x14ac:dyDescent="0.35">
      <c r="A71" s="24">
        <v>57</v>
      </c>
      <c r="B71" s="507" t="str">
        <f>IF('As-Filed Schedule 2H'!B71:D71=0,"",'As-Filed Schedule 2H'!B71:D71)</f>
        <v/>
      </c>
      <c r="C71" s="507"/>
      <c r="D71" s="507"/>
      <c r="F71" s="117">
        <f>'As-Filed Schedule 2H'!F71</f>
        <v>0</v>
      </c>
      <c r="G71" s="313">
        <f>SUMIFS(Adjustments!$G:$G,Adjustments!$H:$H,"2H",Adjustments!$I:$I,'Schedule 2H Adjustments'!$F$12,Adjustments!$J:$J,'Schedule 2H Adjustments'!$A71)</f>
        <v>0</v>
      </c>
      <c r="H71" s="309">
        <f t="shared" si="0"/>
        <v>0</v>
      </c>
      <c r="I71" s="68">
        <f>IFERROR(F71*'As-Filed Schedule 1'!$E$103,0)</f>
        <v>0</v>
      </c>
      <c r="J71" s="310">
        <f>IFERROR(H71*'Adjusted Schedule 1'!$E$104,0)</f>
        <v>0</v>
      </c>
      <c r="K71" s="68">
        <f t="shared" si="1"/>
        <v>0</v>
      </c>
      <c r="L71" s="310">
        <f t="shared" si="2"/>
        <v>0</v>
      </c>
      <c r="N71" s="117">
        <f>'As-Filed Schedule 2H'!J71</f>
        <v>0</v>
      </c>
      <c r="O71" s="313">
        <f>SUMIFS(Adjustments!$G:$G,Adjustments!$H:$H,"2H",Adjustments!$I:$I,'Schedule 2H Adjustments'!$N$12,Adjustments!$J:$J,'Schedule 2H Adjustments'!$A71)</f>
        <v>0</v>
      </c>
      <c r="P71" s="309">
        <f t="shared" si="3"/>
        <v>0</v>
      </c>
      <c r="Q71" s="68">
        <f>IFERROR(N71*'As-Filed Schedule 1'!$E$103,0)</f>
        <v>0</v>
      </c>
      <c r="R71" s="68">
        <f>IFERROR(P71*'Adjusted Schedule 1'!$E$104,0)</f>
        <v>0</v>
      </c>
      <c r="S71" s="68">
        <f t="shared" si="4"/>
        <v>0</v>
      </c>
      <c r="T71" s="310">
        <f t="shared" si="5"/>
        <v>0</v>
      </c>
      <c r="V71" s="120">
        <f>'As-Filed Schedule 2H'!N71</f>
        <v>0</v>
      </c>
      <c r="W71" s="313">
        <f>SUMIFS(Adjustments!$G:$G,Adjustments!$H:$H,"2H",Adjustments!$I:$I,'Schedule 2H Adjustments'!$V$12,Adjustments!$J:$J,'Schedule 2H Adjustments'!$A71)</f>
        <v>0</v>
      </c>
      <c r="X71" s="309">
        <f t="shared" si="6"/>
        <v>0</v>
      </c>
      <c r="Y71" s="120">
        <f>'As-Filed Schedule 2H'!O71</f>
        <v>0</v>
      </c>
      <c r="Z71" s="313">
        <f>SUMIFS(Adjustments!$G:$G,Adjustments!$H:$H,"2H",Adjustments!$I:$I,'Schedule 2H Adjustments'!$Y$12,Adjustments!$J:$J,'Schedule 2H Adjustments'!$A71)</f>
        <v>0</v>
      </c>
      <c r="AA71" s="309">
        <f t="shared" si="7"/>
        <v>0</v>
      </c>
    </row>
    <row r="72" spans="1:27" x14ac:dyDescent="0.35">
      <c r="A72" s="24">
        <v>58</v>
      </c>
      <c r="B72" s="507" t="str">
        <f>IF('As-Filed Schedule 2H'!B72:D72=0,"",'As-Filed Schedule 2H'!B72:D72)</f>
        <v/>
      </c>
      <c r="C72" s="507"/>
      <c r="D72" s="507"/>
      <c r="F72" s="117">
        <f>'As-Filed Schedule 2H'!F72</f>
        <v>0</v>
      </c>
      <c r="G72" s="313">
        <f>SUMIFS(Adjustments!$G:$G,Adjustments!$H:$H,"2H",Adjustments!$I:$I,'Schedule 2H Adjustments'!$F$12,Adjustments!$J:$J,'Schedule 2H Adjustments'!$A72)</f>
        <v>0</v>
      </c>
      <c r="H72" s="309">
        <f t="shared" si="0"/>
        <v>0</v>
      </c>
      <c r="I72" s="68">
        <f>IFERROR(F72*'As-Filed Schedule 1'!$E$103,0)</f>
        <v>0</v>
      </c>
      <c r="J72" s="310">
        <f>IFERROR(H72*'Adjusted Schedule 1'!$E$104,0)</f>
        <v>0</v>
      </c>
      <c r="K72" s="68">
        <f t="shared" si="1"/>
        <v>0</v>
      </c>
      <c r="L72" s="310">
        <f t="shared" si="2"/>
        <v>0</v>
      </c>
      <c r="N72" s="117">
        <f>'As-Filed Schedule 2H'!J72</f>
        <v>0</v>
      </c>
      <c r="O72" s="313">
        <f>SUMIFS(Adjustments!$G:$G,Adjustments!$H:$H,"2H",Adjustments!$I:$I,'Schedule 2H Adjustments'!$N$12,Adjustments!$J:$J,'Schedule 2H Adjustments'!$A72)</f>
        <v>0</v>
      </c>
      <c r="P72" s="309">
        <f t="shared" si="3"/>
        <v>0</v>
      </c>
      <c r="Q72" s="68">
        <f>IFERROR(N72*'As-Filed Schedule 1'!$E$103,0)</f>
        <v>0</v>
      </c>
      <c r="R72" s="68">
        <f>IFERROR(P72*'Adjusted Schedule 1'!$E$104,0)</f>
        <v>0</v>
      </c>
      <c r="S72" s="68">
        <f t="shared" si="4"/>
        <v>0</v>
      </c>
      <c r="T72" s="310">
        <f t="shared" si="5"/>
        <v>0</v>
      </c>
      <c r="V72" s="120">
        <f>'As-Filed Schedule 2H'!N72</f>
        <v>0</v>
      </c>
      <c r="W72" s="313">
        <f>SUMIFS(Adjustments!$G:$G,Adjustments!$H:$H,"2H",Adjustments!$I:$I,'Schedule 2H Adjustments'!$V$12,Adjustments!$J:$J,'Schedule 2H Adjustments'!$A72)</f>
        <v>0</v>
      </c>
      <c r="X72" s="309">
        <f t="shared" si="6"/>
        <v>0</v>
      </c>
      <c r="Y72" s="120">
        <f>'As-Filed Schedule 2H'!O72</f>
        <v>0</v>
      </c>
      <c r="Z72" s="313">
        <f>SUMIFS(Adjustments!$G:$G,Adjustments!$H:$H,"2H",Adjustments!$I:$I,'Schedule 2H Adjustments'!$Y$12,Adjustments!$J:$J,'Schedule 2H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843</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822</v>
      </c>
      <c r="C8" s="1"/>
      <c r="F8" s="119" t="str">
        <f>'As-Filed Schedule 2I'!F8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2I'!B15:D15=0,"",'As-Filed Schedule 2I'!B15:D15)</f>
        <v/>
      </c>
      <c r="C15" s="507"/>
      <c r="D15" s="507"/>
      <c r="F15" s="117">
        <f>'As-Filed Schedule 2I'!F15</f>
        <v>0</v>
      </c>
      <c r="G15" s="313">
        <f>SUMIFS(Adjustments!$G:$G,Adjustments!$H:$H,"2I",Adjustments!$I:$I,'Schedule 2I Adjustments'!$F$12,Adjustments!$J:$J,'Schedule 2I Adjustments'!$A15)</f>
        <v>0</v>
      </c>
      <c r="H15" s="309">
        <f>SUM(F15:G15)</f>
        <v>0</v>
      </c>
      <c r="I15" s="68">
        <f>IFERROR(F15*'As-Filed Schedule 1'!$E$103,0)</f>
        <v>0</v>
      </c>
      <c r="J15" s="310">
        <f>IFERROR(H15*'Adjusted Schedule 1'!$E$104,0)</f>
        <v>0</v>
      </c>
      <c r="K15" s="68">
        <f>SUM(F15,I15)</f>
        <v>0</v>
      </c>
      <c r="L15" s="310">
        <f>SUM(H15,J15)</f>
        <v>0</v>
      </c>
      <c r="N15" s="117">
        <f>'As-Filed Schedule 2I'!J15</f>
        <v>0</v>
      </c>
      <c r="O15" s="313">
        <f>SUMIFS(Adjustments!$G:$G,Adjustments!$H:$H,"2I",Adjustments!$I:$I,'Schedule 2I Adjustments'!$N$12,Adjustments!$J:$J,'Schedule 2I Adjustments'!$A15)</f>
        <v>0</v>
      </c>
      <c r="P15" s="309">
        <f>SUM(N15:O15)</f>
        <v>0</v>
      </c>
      <c r="Q15" s="68">
        <f>IFERROR(N15*'As-Filed Schedule 1'!$E$103,0)</f>
        <v>0</v>
      </c>
      <c r="R15" s="68">
        <f>IFERROR(P15*'Adjusted Schedule 1'!$E$104,0)</f>
        <v>0</v>
      </c>
      <c r="S15" s="68">
        <f>SUM(N15,Q15)</f>
        <v>0</v>
      </c>
      <c r="T15" s="310">
        <f>SUM(P15,R15)</f>
        <v>0</v>
      </c>
      <c r="V15" s="120">
        <f>'As-Filed Schedule 2I'!N15</f>
        <v>0</v>
      </c>
      <c r="W15" s="313">
        <f>SUMIFS(Adjustments!$G:$G,Adjustments!$H:$H,"2I",Adjustments!$I:$I,'Schedule 2I Adjustments'!$V$12,Adjustments!$J:$J,'Schedule 2I Adjustments'!$A15)</f>
        <v>0</v>
      </c>
      <c r="X15" s="309">
        <f>SUM(V15:W15)</f>
        <v>0</v>
      </c>
      <c r="Y15" s="120">
        <f>'As-Filed Schedule 2I'!O15</f>
        <v>0</v>
      </c>
      <c r="Z15" s="313">
        <f>SUMIFS(Adjustments!$G:$G,Adjustments!$H:$H,"2I",Adjustments!$I:$I,'Schedule 2I Adjustments'!$Y$12,Adjustments!$J:$J,'Schedule 2I Adjustments'!$A15)</f>
        <v>0</v>
      </c>
      <c r="AA15" s="309">
        <f>SUM(Y15:Z15)</f>
        <v>0</v>
      </c>
    </row>
    <row r="16" spans="1:27" x14ac:dyDescent="0.35">
      <c r="A16" s="24">
        <v>2</v>
      </c>
      <c r="B16" s="507" t="str">
        <f>IF('As-Filed Schedule 2I'!B16:D16=0,"",'As-Filed Schedule 2I'!B16:D16)</f>
        <v/>
      </c>
      <c r="C16" s="507"/>
      <c r="D16" s="507"/>
      <c r="F16" s="117">
        <f>'As-Filed Schedule 2I'!F16</f>
        <v>0</v>
      </c>
      <c r="G16" s="313">
        <f>SUMIFS(Adjustments!$G:$G,Adjustments!$H:$H,"2I",Adjustments!$I:$I,'Schedule 2I Adjustments'!$F$12,Adjustments!$J:$J,'Schedule 2I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2I'!J16</f>
        <v>0</v>
      </c>
      <c r="O16" s="313">
        <f>SUMIFS(Adjustments!$G:$G,Adjustments!$H:$H,"2I",Adjustments!$I:$I,'Schedule 2I Adjustments'!$N$12,Adjustments!$J:$J,'Schedule 2I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2I'!N16</f>
        <v>0</v>
      </c>
      <c r="W16" s="313">
        <f>SUMIFS(Adjustments!$G:$G,Adjustments!$H:$H,"2I",Adjustments!$I:$I,'Schedule 2I Adjustments'!$V$12,Adjustments!$J:$J,'Schedule 2I Adjustments'!$A16)</f>
        <v>0</v>
      </c>
      <c r="X16" s="309">
        <f t="shared" ref="X16:X72" si="6">SUM(V16:W16)</f>
        <v>0</v>
      </c>
      <c r="Y16" s="120">
        <f>'As-Filed Schedule 2I'!O16</f>
        <v>0</v>
      </c>
      <c r="Z16" s="313">
        <f>SUMIFS(Adjustments!$G:$G,Adjustments!$H:$H,"2I",Adjustments!$I:$I,'Schedule 2I Adjustments'!$Y$12,Adjustments!$J:$J,'Schedule 2I Adjustments'!$A16)</f>
        <v>0</v>
      </c>
      <c r="AA16" s="309">
        <f t="shared" ref="AA16:AA72" si="7">SUM(Y16:Z16)</f>
        <v>0</v>
      </c>
    </row>
    <row r="17" spans="1:27" x14ac:dyDescent="0.35">
      <c r="A17" s="24">
        <v>3</v>
      </c>
      <c r="B17" s="507" t="str">
        <f>IF('As-Filed Schedule 2I'!B17:D17=0,"",'As-Filed Schedule 2I'!B17:D17)</f>
        <v/>
      </c>
      <c r="C17" s="507"/>
      <c r="D17" s="507"/>
      <c r="F17" s="117">
        <f>'As-Filed Schedule 2I'!F17</f>
        <v>0</v>
      </c>
      <c r="G17" s="313">
        <f>SUMIFS(Adjustments!$G:$G,Adjustments!$H:$H,"2I",Adjustments!$I:$I,'Schedule 2I Adjustments'!$F$12,Adjustments!$J:$J,'Schedule 2I Adjustments'!$A17)</f>
        <v>0</v>
      </c>
      <c r="H17" s="309">
        <f t="shared" si="0"/>
        <v>0</v>
      </c>
      <c r="I17" s="68">
        <f>IFERROR(F17*'As-Filed Schedule 1'!$E$103,0)</f>
        <v>0</v>
      </c>
      <c r="J17" s="310">
        <f>IFERROR(H17*'Adjusted Schedule 1'!$E$104,0)</f>
        <v>0</v>
      </c>
      <c r="K17" s="68">
        <f t="shared" si="1"/>
        <v>0</v>
      </c>
      <c r="L17" s="310">
        <f t="shared" si="2"/>
        <v>0</v>
      </c>
      <c r="N17" s="117">
        <f>'As-Filed Schedule 2I'!J17</f>
        <v>0</v>
      </c>
      <c r="O17" s="313">
        <f>SUMIFS(Adjustments!$G:$G,Adjustments!$H:$H,"2I",Adjustments!$I:$I,'Schedule 2I Adjustments'!$N$12,Adjustments!$J:$J,'Schedule 2I Adjustments'!$A17)</f>
        <v>0</v>
      </c>
      <c r="P17" s="309">
        <f t="shared" si="3"/>
        <v>0</v>
      </c>
      <c r="Q17" s="68">
        <f>IFERROR(N17*'As-Filed Schedule 1'!$E$103,0)</f>
        <v>0</v>
      </c>
      <c r="R17" s="68">
        <f>IFERROR(P17*'Adjusted Schedule 1'!$E$104,0)</f>
        <v>0</v>
      </c>
      <c r="S17" s="68">
        <f t="shared" si="4"/>
        <v>0</v>
      </c>
      <c r="T17" s="310">
        <f t="shared" si="5"/>
        <v>0</v>
      </c>
      <c r="V17" s="120">
        <f>'As-Filed Schedule 2I'!N17</f>
        <v>0</v>
      </c>
      <c r="W17" s="313">
        <f>SUMIFS(Adjustments!$G:$G,Adjustments!$H:$H,"2I",Adjustments!$I:$I,'Schedule 2I Adjustments'!$V$12,Adjustments!$J:$J,'Schedule 2I Adjustments'!$A17)</f>
        <v>0</v>
      </c>
      <c r="X17" s="309">
        <f t="shared" si="6"/>
        <v>0</v>
      </c>
      <c r="Y17" s="120">
        <f>'As-Filed Schedule 2I'!O17</f>
        <v>0</v>
      </c>
      <c r="Z17" s="313">
        <f>SUMIFS(Adjustments!$G:$G,Adjustments!$H:$H,"2I",Adjustments!$I:$I,'Schedule 2I Adjustments'!$Y$12,Adjustments!$J:$J,'Schedule 2I Adjustments'!$A17)</f>
        <v>0</v>
      </c>
      <c r="AA17" s="309">
        <f t="shared" si="7"/>
        <v>0</v>
      </c>
    </row>
    <row r="18" spans="1:27" x14ac:dyDescent="0.35">
      <c r="A18" s="24">
        <v>4</v>
      </c>
      <c r="B18" s="507" t="str">
        <f>IF('As-Filed Schedule 2I'!B18:D18=0,"",'As-Filed Schedule 2I'!B18:D18)</f>
        <v/>
      </c>
      <c r="C18" s="507"/>
      <c r="D18" s="507"/>
      <c r="F18" s="117">
        <f>'As-Filed Schedule 2I'!F18</f>
        <v>0</v>
      </c>
      <c r="G18" s="313">
        <f>SUMIFS(Adjustments!$G:$G,Adjustments!$H:$H,"2I",Adjustments!$I:$I,'Schedule 2I Adjustments'!$F$12,Adjustments!$J:$J,'Schedule 2I Adjustments'!$A18)</f>
        <v>0</v>
      </c>
      <c r="H18" s="309">
        <f t="shared" si="0"/>
        <v>0</v>
      </c>
      <c r="I18" s="68">
        <f>IFERROR(F18*'As-Filed Schedule 1'!$E$103,0)</f>
        <v>0</v>
      </c>
      <c r="J18" s="310">
        <f>IFERROR(H18*'Adjusted Schedule 1'!$E$104,0)</f>
        <v>0</v>
      </c>
      <c r="K18" s="68">
        <f>SUM(F18,I18)</f>
        <v>0</v>
      </c>
      <c r="L18" s="310">
        <f>SUM(H18,J18)</f>
        <v>0</v>
      </c>
      <c r="N18" s="117">
        <f>'As-Filed Schedule 2I'!J18</f>
        <v>0</v>
      </c>
      <c r="O18" s="313">
        <f>SUMIFS(Adjustments!$G:$G,Adjustments!$H:$H,"2I",Adjustments!$I:$I,'Schedule 2I Adjustments'!$N$12,Adjustments!$J:$J,'Schedule 2I Adjustments'!$A18)</f>
        <v>0</v>
      </c>
      <c r="P18" s="309">
        <f t="shared" si="3"/>
        <v>0</v>
      </c>
      <c r="Q18" s="68">
        <f>IFERROR(N18*'As-Filed Schedule 1'!$E$103,0)</f>
        <v>0</v>
      </c>
      <c r="R18" s="68">
        <f>IFERROR(P18*'Adjusted Schedule 1'!$E$104,0)</f>
        <v>0</v>
      </c>
      <c r="S18" s="68">
        <f t="shared" si="4"/>
        <v>0</v>
      </c>
      <c r="T18" s="310">
        <f t="shared" si="5"/>
        <v>0</v>
      </c>
      <c r="V18" s="120">
        <f>'As-Filed Schedule 2I'!N18</f>
        <v>0</v>
      </c>
      <c r="W18" s="313">
        <f>SUMIFS(Adjustments!$G:$G,Adjustments!$H:$H,"2I",Adjustments!$I:$I,'Schedule 2I Adjustments'!$V$12,Adjustments!$J:$J,'Schedule 2I Adjustments'!$A18)</f>
        <v>0</v>
      </c>
      <c r="X18" s="309">
        <f t="shared" si="6"/>
        <v>0</v>
      </c>
      <c r="Y18" s="120">
        <f>'As-Filed Schedule 2I'!O18</f>
        <v>0</v>
      </c>
      <c r="Z18" s="313">
        <f>SUMIFS(Adjustments!$G:$G,Adjustments!$H:$H,"2I",Adjustments!$I:$I,'Schedule 2I Adjustments'!$Y$12,Adjustments!$J:$J,'Schedule 2I Adjustments'!$A18)</f>
        <v>0</v>
      </c>
      <c r="AA18" s="309">
        <f t="shared" si="7"/>
        <v>0</v>
      </c>
    </row>
    <row r="19" spans="1:27" x14ac:dyDescent="0.35">
      <c r="A19" s="24">
        <v>5</v>
      </c>
      <c r="B19" s="507" t="str">
        <f>IF('As-Filed Schedule 2I'!B19:D19=0,"",'As-Filed Schedule 2I'!B19:D19)</f>
        <v/>
      </c>
      <c r="C19" s="507"/>
      <c r="D19" s="507"/>
      <c r="F19" s="117">
        <f>'As-Filed Schedule 2I'!F19</f>
        <v>0</v>
      </c>
      <c r="G19" s="313">
        <f>SUMIFS(Adjustments!$G:$G,Adjustments!$H:$H,"2I",Adjustments!$I:$I,'Schedule 2I Adjustments'!$F$12,Adjustments!$J:$J,'Schedule 2I Adjustments'!$A19)</f>
        <v>0</v>
      </c>
      <c r="H19" s="309">
        <f t="shared" si="0"/>
        <v>0</v>
      </c>
      <c r="I19" s="68">
        <f>IFERROR(F19*'As-Filed Schedule 1'!$E$103,0)</f>
        <v>0</v>
      </c>
      <c r="J19" s="310">
        <f>IFERROR(H19*'Adjusted Schedule 1'!$E$104,0)</f>
        <v>0</v>
      </c>
      <c r="K19" s="68">
        <f t="shared" si="1"/>
        <v>0</v>
      </c>
      <c r="L19" s="310">
        <f>SUM(H19,J19)</f>
        <v>0</v>
      </c>
      <c r="N19" s="117">
        <f>'As-Filed Schedule 2I'!J19</f>
        <v>0</v>
      </c>
      <c r="O19" s="313">
        <f>SUMIFS(Adjustments!$G:$G,Adjustments!$H:$H,"2I",Adjustments!$I:$I,'Schedule 2I Adjustments'!$N$12,Adjustments!$J:$J,'Schedule 2I Adjustments'!$A19)</f>
        <v>0</v>
      </c>
      <c r="P19" s="309">
        <f t="shared" si="3"/>
        <v>0</v>
      </c>
      <c r="Q19" s="68">
        <f>IFERROR(N19*'As-Filed Schedule 1'!$E$103,0)</f>
        <v>0</v>
      </c>
      <c r="R19" s="68">
        <f>IFERROR(P19*'Adjusted Schedule 1'!$E$104,0)</f>
        <v>0</v>
      </c>
      <c r="S19" s="68">
        <f t="shared" si="4"/>
        <v>0</v>
      </c>
      <c r="T19" s="310">
        <f t="shared" si="5"/>
        <v>0</v>
      </c>
      <c r="V19" s="120">
        <f>'As-Filed Schedule 2I'!N19</f>
        <v>0</v>
      </c>
      <c r="W19" s="313">
        <f>SUMIFS(Adjustments!$G:$G,Adjustments!$H:$H,"2I",Adjustments!$I:$I,'Schedule 2I Adjustments'!$V$12,Adjustments!$J:$J,'Schedule 2I Adjustments'!$A19)</f>
        <v>0</v>
      </c>
      <c r="X19" s="309">
        <f t="shared" si="6"/>
        <v>0</v>
      </c>
      <c r="Y19" s="120">
        <f>'As-Filed Schedule 2I'!O19</f>
        <v>0</v>
      </c>
      <c r="Z19" s="313">
        <f>SUMIFS(Adjustments!$G:$G,Adjustments!$H:$H,"2I",Adjustments!$I:$I,'Schedule 2I Adjustments'!$Y$12,Adjustments!$J:$J,'Schedule 2I Adjustments'!$A19)</f>
        <v>0</v>
      </c>
      <c r="AA19" s="309">
        <f t="shared" si="7"/>
        <v>0</v>
      </c>
    </row>
    <row r="20" spans="1:27" x14ac:dyDescent="0.35">
      <c r="A20" s="24">
        <v>6</v>
      </c>
      <c r="B20" s="507" t="str">
        <f>IF('As-Filed Schedule 2I'!B20:D20=0,"",'As-Filed Schedule 2I'!B20:D20)</f>
        <v/>
      </c>
      <c r="C20" s="507"/>
      <c r="D20" s="507"/>
      <c r="F20" s="117">
        <f>'As-Filed Schedule 2I'!F20</f>
        <v>0</v>
      </c>
      <c r="G20" s="313">
        <f>SUMIFS(Adjustments!$G:$G,Adjustments!$H:$H,"2I",Adjustments!$I:$I,'Schedule 2I Adjustments'!$F$12,Adjustments!$J:$J,'Schedule 2I Adjustments'!$A20)</f>
        <v>0</v>
      </c>
      <c r="H20" s="309">
        <f t="shared" si="0"/>
        <v>0</v>
      </c>
      <c r="I20" s="68">
        <f>IFERROR(F20*'As-Filed Schedule 1'!$E$103,0)</f>
        <v>0</v>
      </c>
      <c r="J20" s="310">
        <f>IFERROR(H20*'Adjusted Schedule 1'!$E$104,0)</f>
        <v>0</v>
      </c>
      <c r="K20" s="68">
        <f>SUM(F20,I20)</f>
        <v>0</v>
      </c>
      <c r="L20" s="310">
        <f t="shared" si="2"/>
        <v>0</v>
      </c>
      <c r="N20" s="117">
        <f>'As-Filed Schedule 2I'!J20</f>
        <v>0</v>
      </c>
      <c r="O20" s="313">
        <f>SUMIFS(Adjustments!$G:$G,Adjustments!$H:$H,"2I",Adjustments!$I:$I,'Schedule 2I Adjustments'!$N$12,Adjustments!$J:$J,'Schedule 2I Adjustments'!$A20)</f>
        <v>0</v>
      </c>
      <c r="P20" s="309">
        <f t="shared" si="3"/>
        <v>0</v>
      </c>
      <c r="Q20" s="68">
        <f>IFERROR(N20*'As-Filed Schedule 1'!$E$103,0)</f>
        <v>0</v>
      </c>
      <c r="R20" s="68">
        <f>IFERROR(P20*'Adjusted Schedule 1'!$E$104,0)</f>
        <v>0</v>
      </c>
      <c r="S20" s="68">
        <f t="shared" si="4"/>
        <v>0</v>
      </c>
      <c r="T20" s="310">
        <f t="shared" si="5"/>
        <v>0</v>
      </c>
      <c r="V20" s="120">
        <f>'As-Filed Schedule 2I'!N20</f>
        <v>0</v>
      </c>
      <c r="W20" s="313">
        <f>SUMIFS(Adjustments!$G:$G,Adjustments!$H:$H,"2I",Adjustments!$I:$I,'Schedule 2I Adjustments'!$V$12,Adjustments!$J:$J,'Schedule 2I Adjustments'!$A20)</f>
        <v>0</v>
      </c>
      <c r="X20" s="309">
        <f t="shared" si="6"/>
        <v>0</v>
      </c>
      <c r="Y20" s="120">
        <f>'As-Filed Schedule 2I'!O20</f>
        <v>0</v>
      </c>
      <c r="Z20" s="313">
        <f>SUMIFS(Adjustments!$G:$G,Adjustments!$H:$H,"2I",Adjustments!$I:$I,'Schedule 2I Adjustments'!$Y$12,Adjustments!$J:$J,'Schedule 2I Adjustments'!$A20)</f>
        <v>0</v>
      </c>
      <c r="AA20" s="309">
        <f t="shared" si="7"/>
        <v>0</v>
      </c>
    </row>
    <row r="21" spans="1:27" x14ac:dyDescent="0.35">
      <c r="A21" s="24">
        <v>7</v>
      </c>
      <c r="B21" s="507" t="str">
        <f>IF('As-Filed Schedule 2I'!B21:D21=0,"",'As-Filed Schedule 2I'!B21:D21)</f>
        <v/>
      </c>
      <c r="C21" s="507"/>
      <c r="D21" s="507"/>
      <c r="F21" s="117">
        <f>'As-Filed Schedule 2I'!F21</f>
        <v>0</v>
      </c>
      <c r="G21" s="313">
        <f>SUMIFS(Adjustments!$G:$G,Adjustments!$H:$H,"2I",Adjustments!$I:$I,'Schedule 2I Adjustments'!$F$12,Adjustments!$J:$J,'Schedule 2I Adjustments'!$A21)</f>
        <v>0</v>
      </c>
      <c r="H21" s="309">
        <f t="shared" si="0"/>
        <v>0</v>
      </c>
      <c r="I21" s="68">
        <f>IFERROR(F21*'As-Filed Schedule 1'!$E$103,0)</f>
        <v>0</v>
      </c>
      <c r="J21" s="310">
        <f>IFERROR(H21*'Adjusted Schedule 1'!$E$104,0)</f>
        <v>0</v>
      </c>
      <c r="K21" s="68">
        <f t="shared" si="1"/>
        <v>0</v>
      </c>
      <c r="L21" s="310">
        <f t="shared" si="2"/>
        <v>0</v>
      </c>
      <c r="N21" s="117">
        <f>'As-Filed Schedule 2I'!J21</f>
        <v>0</v>
      </c>
      <c r="O21" s="313">
        <f>SUMIFS(Adjustments!$G:$G,Adjustments!$H:$H,"2I",Adjustments!$I:$I,'Schedule 2I Adjustments'!$N$12,Adjustments!$J:$J,'Schedule 2I Adjustments'!$A21)</f>
        <v>0</v>
      </c>
      <c r="P21" s="309">
        <f t="shared" si="3"/>
        <v>0</v>
      </c>
      <c r="Q21" s="68">
        <f>IFERROR(N21*'As-Filed Schedule 1'!$E$103,0)</f>
        <v>0</v>
      </c>
      <c r="R21" s="68">
        <f>IFERROR(P21*'Adjusted Schedule 1'!$E$104,0)</f>
        <v>0</v>
      </c>
      <c r="S21" s="68">
        <f>SUM(N21,Q21)</f>
        <v>0</v>
      </c>
      <c r="T21" s="310">
        <f>SUM(P21,R21)</f>
        <v>0</v>
      </c>
      <c r="V21" s="120">
        <f>'As-Filed Schedule 2I'!N21</f>
        <v>0</v>
      </c>
      <c r="W21" s="313">
        <f>SUMIFS(Adjustments!$G:$G,Adjustments!$H:$H,"2I",Adjustments!$I:$I,'Schedule 2I Adjustments'!$V$12,Adjustments!$J:$J,'Schedule 2I Adjustments'!$A21)</f>
        <v>0</v>
      </c>
      <c r="X21" s="309">
        <f t="shared" si="6"/>
        <v>0</v>
      </c>
      <c r="Y21" s="120">
        <f>'As-Filed Schedule 2I'!O21</f>
        <v>0</v>
      </c>
      <c r="Z21" s="313">
        <f>SUMIFS(Adjustments!$G:$G,Adjustments!$H:$H,"2I",Adjustments!$I:$I,'Schedule 2I Adjustments'!$Y$12,Adjustments!$J:$J,'Schedule 2I Adjustments'!$A21)</f>
        <v>0</v>
      </c>
      <c r="AA21" s="309">
        <f t="shared" si="7"/>
        <v>0</v>
      </c>
    </row>
    <row r="22" spans="1:27" x14ac:dyDescent="0.35">
      <c r="A22" s="24">
        <v>8</v>
      </c>
      <c r="B22" s="507" t="str">
        <f>IF('As-Filed Schedule 2I'!B22:D22=0,"",'As-Filed Schedule 2I'!B22:D22)</f>
        <v/>
      </c>
      <c r="C22" s="507"/>
      <c r="D22" s="507"/>
      <c r="F22" s="117">
        <f>'As-Filed Schedule 2I'!F22</f>
        <v>0</v>
      </c>
      <c r="G22" s="313">
        <f>SUMIFS(Adjustments!$G:$G,Adjustments!$H:$H,"2I",Adjustments!$I:$I,'Schedule 2I Adjustments'!$F$12,Adjustments!$J:$J,'Schedule 2I Adjustments'!$A22)</f>
        <v>0</v>
      </c>
      <c r="H22" s="309">
        <f t="shared" si="0"/>
        <v>0</v>
      </c>
      <c r="I22" s="68">
        <f>IFERROR(F22*'As-Filed Schedule 1'!$E$103,0)</f>
        <v>0</v>
      </c>
      <c r="J22" s="310">
        <f>IFERROR(H22*'Adjusted Schedule 1'!$E$104,0)</f>
        <v>0</v>
      </c>
      <c r="K22" s="68">
        <f t="shared" si="1"/>
        <v>0</v>
      </c>
      <c r="L22" s="310">
        <f t="shared" si="2"/>
        <v>0</v>
      </c>
      <c r="N22" s="117">
        <f>'As-Filed Schedule 2I'!J22</f>
        <v>0</v>
      </c>
      <c r="O22" s="313">
        <f>SUMIFS(Adjustments!$G:$G,Adjustments!$H:$H,"2I",Adjustments!$I:$I,'Schedule 2I Adjustments'!$N$12,Adjustments!$J:$J,'Schedule 2I Adjustments'!$A22)</f>
        <v>0</v>
      </c>
      <c r="P22" s="309">
        <f t="shared" si="3"/>
        <v>0</v>
      </c>
      <c r="Q22" s="68">
        <f>IFERROR(N22*'As-Filed Schedule 1'!$E$103,0)</f>
        <v>0</v>
      </c>
      <c r="R22" s="68">
        <f>IFERROR(P22*'Adjusted Schedule 1'!$E$104,0)</f>
        <v>0</v>
      </c>
      <c r="S22" s="68">
        <f t="shared" si="4"/>
        <v>0</v>
      </c>
      <c r="T22" s="310">
        <f t="shared" si="5"/>
        <v>0</v>
      </c>
      <c r="V22" s="120">
        <f>'As-Filed Schedule 2I'!N22</f>
        <v>0</v>
      </c>
      <c r="W22" s="313">
        <f>SUMIFS(Adjustments!$G:$G,Adjustments!$H:$H,"2I",Adjustments!$I:$I,'Schedule 2I Adjustments'!$V$12,Adjustments!$J:$J,'Schedule 2I Adjustments'!$A22)</f>
        <v>0</v>
      </c>
      <c r="X22" s="309">
        <f t="shared" si="6"/>
        <v>0</v>
      </c>
      <c r="Y22" s="120">
        <f>'As-Filed Schedule 2I'!O22</f>
        <v>0</v>
      </c>
      <c r="Z22" s="313">
        <f>SUMIFS(Adjustments!$G:$G,Adjustments!$H:$H,"2I",Adjustments!$I:$I,'Schedule 2I Adjustments'!$Y$12,Adjustments!$J:$J,'Schedule 2I Adjustments'!$A22)</f>
        <v>0</v>
      </c>
      <c r="AA22" s="309">
        <f t="shared" si="7"/>
        <v>0</v>
      </c>
    </row>
    <row r="23" spans="1:27" x14ac:dyDescent="0.35">
      <c r="A23" s="24">
        <v>9</v>
      </c>
      <c r="B23" s="507" t="str">
        <f>IF('As-Filed Schedule 2I'!B23:D23=0,"",'As-Filed Schedule 2I'!B23:D23)</f>
        <v/>
      </c>
      <c r="C23" s="507"/>
      <c r="D23" s="507"/>
      <c r="F23" s="117">
        <f>'As-Filed Schedule 2I'!F23</f>
        <v>0</v>
      </c>
      <c r="G23" s="313">
        <f>SUMIFS(Adjustments!$G:$G,Adjustments!$H:$H,"2I",Adjustments!$I:$I,'Schedule 2I Adjustments'!$F$12,Adjustments!$J:$J,'Schedule 2I Adjustments'!$A23)</f>
        <v>0</v>
      </c>
      <c r="H23" s="309">
        <f t="shared" si="0"/>
        <v>0</v>
      </c>
      <c r="I23" s="68">
        <f>IFERROR(F23*'As-Filed Schedule 1'!$E$103,0)</f>
        <v>0</v>
      </c>
      <c r="J23" s="310">
        <f>IFERROR(H23*'Adjusted Schedule 1'!$E$104,0)</f>
        <v>0</v>
      </c>
      <c r="K23" s="68">
        <f t="shared" si="1"/>
        <v>0</v>
      </c>
      <c r="L23" s="310">
        <f t="shared" si="2"/>
        <v>0</v>
      </c>
      <c r="N23" s="117">
        <f>'As-Filed Schedule 2I'!J23</f>
        <v>0</v>
      </c>
      <c r="O23" s="313">
        <f>SUMIFS(Adjustments!$G:$G,Adjustments!$H:$H,"2I",Adjustments!$I:$I,'Schedule 2I Adjustments'!$N$12,Adjustments!$J:$J,'Schedule 2I Adjustments'!$A23)</f>
        <v>0</v>
      </c>
      <c r="P23" s="309">
        <f t="shared" si="3"/>
        <v>0</v>
      </c>
      <c r="Q23" s="68">
        <f>IFERROR(N23*'As-Filed Schedule 1'!$E$103,0)</f>
        <v>0</v>
      </c>
      <c r="R23" s="68">
        <f>IFERROR(P23*'Adjusted Schedule 1'!$E$104,0)</f>
        <v>0</v>
      </c>
      <c r="S23" s="68">
        <f t="shared" si="4"/>
        <v>0</v>
      </c>
      <c r="T23" s="310">
        <f t="shared" si="5"/>
        <v>0</v>
      </c>
      <c r="V23" s="120">
        <f>'As-Filed Schedule 2I'!N23</f>
        <v>0</v>
      </c>
      <c r="W23" s="313">
        <f>SUMIFS(Adjustments!$G:$G,Adjustments!$H:$H,"2I",Adjustments!$I:$I,'Schedule 2I Adjustments'!$V$12,Adjustments!$J:$J,'Schedule 2I Adjustments'!$A23)</f>
        <v>0</v>
      </c>
      <c r="X23" s="309">
        <f t="shared" si="6"/>
        <v>0</v>
      </c>
      <c r="Y23" s="120">
        <f>'As-Filed Schedule 2I'!O23</f>
        <v>0</v>
      </c>
      <c r="Z23" s="313">
        <f>SUMIFS(Adjustments!$G:$G,Adjustments!$H:$H,"2I",Adjustments!$I:$I,'Schedule 2I Adjustments'!$Y$12,Adjustments!$J:$J,'Schedule 2I Adjustments'!$A23)</f>
        <v>0</v>
      </c>
      <c r="AA23" s="309">
        <f t="shared" si="7"/>
        <v>0</v>
      </c>
    </row>
    <row r="24" spans="1:27" x14ac:dyDescent="0.35">
      <c r="A24" s="24">
        <v>10</v>
      </c>
      <c r="B24" s="507" t="str">
        <f>IF('As-Filed Schedule 2I'!B24:D24=0,"",'As-Filed Schedule 2I'!B24:D24)</f>
        <v/>
      </c>
      <c r="C24" s="507"/>
      <c r="D24" s="507"/>
      <c r="F24" s="117">
        <f>'As-Filed Schedule 2I'!F24</f>
        <v>0</v>
      </c>
      <c r="G24" s="313">
        <f>SUMIFS(Adjustments!$G:$G,Adjustments!$H:$H,"2I",Adjustments!$I:$I,'Schedule 2I Adjustments'!$F$12,Adjustments!$J:$J,'Schedule 2I Adjustments'!$A24)</f>
        <v>0</v>
      </c>
      <c r="H24" s="309">
        <f t="shared" si="0"/>
        <v>0</v>
      </c>
      <c r="I24" s="68">
        <f>IFERROR(F24*'As-Filed Schedule 1'!$E$103,0)</f>
        <v>0</v>
      </c>
      <c r="J24" s="310">
        <f>IFERROR(H24*'Adjusted Schedule 1'!$E$104,0)</f>
        <v>0</v>
      </c>
      <c r="K24" s="68">
        <f t="shared" si="1"/>
        <v>0</v>
      </c>
      <c r="L24" s="310">
        <f t="shared" si="2"/>
        <v>0</v>
      </c>
      <c r="N24" s="117">
        <f>'As-Filed Schedule 2I'!J24</f>
        <v>0</v>
      </c>
      <c r="O24" s="313">
        <f>SUMIFS(Adjustments!$G:$G,Adjustments!$H:$H,"2I",Adjustments!$I:$I,'Schedule 2I Adjustments'!$N$12,Adjustments!$J:$J,'Schedule 2I Adjustments'!$A24)</f>
        <v>0</v>
      </c>
      <c r="P24" s="309">
        <f t="shared" si="3"/>
        <v>0</v>
      </c>
      <c r="Q24" s="68">
        <f>IFERROR(N24*'As-Filed Schedule 1'!$E$103,0)</f>
        <v>0</v>
      </c>
      <c r="R24" s="68">
        <f>IFERROR(P24*'Adjusted Schedule 1'!$E$104,0)</f>
        <v>0</v>
      </c>
      <c r="S24" s="68">
        <f t="shared" si="4"/>
        <v>0</v>
      </c>
      <c r="T24" s="310">
        <f t="shared" si="5"/>
        <v>0</v>
      </c>
      <c r="V24" s="120">
        <f>'As-Filed Schedule 2I'!N24</f>
        <v>0</v>
      </c>
      <c r="W24" s="313">
        <f>SUMIFS(Adjustments!$G:$G,Adjustments!$H:$H,"2I",Adjustments!$I:$I,'Schedule 2I Adjustments'!$V$12,Adjustments!$J:$J,'Schedule 2I Adjustments'!$A24)</f>
        <v>0</v>
      </c>
      <c r="X24" s="309">
        <f t="shared" si="6"/>
        <v>0</v>
      </c>
      <c r="Y24" s="120">
        <f>'As-Filed Schedule 2I'!O24</f>
        <v>0</v>
      </c>
      <c r="Z24" s="313">
        <f>SUMIFS(Adjustments!$G:$G,Adjustments!$H:$H,"2I",Adjustments!$I:$I,'Schedule 2I Adjustments'!$Y$12,Adjustments!$J:$J,'Schedule 2I Adjustments'!$A24)</f>
        <v>0</v>
      </c>
      <c r="AA24" s="309">
        <f t="shared" si="7"/>
        <v>0</v>
      </c>
    </row>
    <row r="25" spans="1:27" x14ac:dyDescent="0.35">
      <c r="A25" s="24">
        <v>11</v>
      </c>
      <c r="B25" s="507" t="str">
        <f>IF('As-Filed Schedule 2I'!B25:D25=0,"",'As-Filed Schedule 2I'!B25:D25)</f>
        <v/>
      </c>
      <c r="C25" s="507"/>
      <c r="D25" s="507"/>
      <c r="F25" s="117">
        <f>'As-Filed Schedule 2I'!F25</f>
        <v>0</v>
      </c>
      <c r="G25" s="313">
        <f>SUMIFS(Adjustments!$G:$G,Adjustments!$H:$H,"2I",Adjustments!$I:$I,'Schedule 2I Adjustments'!$F$12,Adjustments!$J:$J,'Schedule 2I Adjustments'!$A25)</f>
        <v>0</v>
      </c>
      <c r="H25" s="309">
        <f t="shared" si="0"/>
        <v>0</v>
      </c>
      <c r="I25" s="68">
        <f>IFERROR(F25*'As-Filed Schedule 1'!$E$103,0)</f>
        <v>0</v>
      </c>
      <c r="J25" s="310">
        <f>IFERROR(H25*'Adjusted Schedule 1'!$E$104,0)</f>
        <v>0</v>
      </c>
      <c r="K25" s="68">
        <f t="shared" si="1"/>
        <v>0</v>
      </c>
      <c r="L25" s="310">
        <f t="shared" si="2"/>
        <v>0</v>
      </c>
      <c r="N25" s="117">
        <f>'As-Filed Schedule 2I'!J25</f>
        <v>0</v>
      </c>
      <c r="O25" s="313">
        <f>SUMIFS(Adjustments!$G:$G,Adjustments!$H:$H,"2I",Adjustments!$I:$I,'Schedule 2I Adjustments'!$N$12,Adjustments!$J:$J,'Schedule 2I Adjustments'!$A25)</f>
        <v>0</v>
      </c>
      <c r="P25" s="309">
        <f t="shared" si="3"/>
        <v>0</v>
      </c>
      <c r="Q25" s="68">
        <f>IFERROR(N25*'As-Filed Schedule 1'!$E$103,0)</f>
        <v>0</v>
      </c>
      <c r="R25" s="68">
        <f>IFERROR(P25*'Adjusted Schedule 1'!$E$104,0)</f>
        <v>0</v>
      </c>
      <c r="S25" s="68">
        <f t="shared" si="4"/>
        <v>0</v>
      </c>
      <c r="T25" s="310">
        <f t="shared" si="5"/>
        <v>0</v>
      </c>
      <c r="V25" s="120">
        <f>'As-Filed Schedule 2I'!N25</f>
        <v>0</v>
      </c>
      <c r="W25" s="313">
        <f>SUMIFS(Adjustments!$G:$G,Adjustments!$H:$H,"2I",Adjustments!$I:$I,'Schedule 2I Adjustments'!$V$12,Adjustments!$J:$J,'Schedule 2I Adjustments'!$A25)</f>
        <v>0</v>
      </c>
      <c r="X25" s="309">
        <f t="shared" si="6"/>
        <v>0</v>
      </c>
      <c r="Y25" s="120">
        <f>'As-Filed Schedule 2I'!O25</f>
        <v>0</v>
      </c>
      <c r="Z25" s="313">
        <f>SUMIFS(Adjustments!$G:$G,Adjustments!$H:$H,"2I",Adjustments!$I:$I,'Schedule 2I Adjustments'!$Y$12,Adjustments!$J:$J,'Schedule 2I Adjustments'!$A25)</f>
        <v>0</v>
      </c>
      <c r="AA25" s="309">
        <f t="shared" si="7"/>
        <v>0</v>
      </c>
    </row>
    <row r="26" spans="1:27" x14ac:dyDescent="0.35">
      <c r="A26" s="24">
        <v>12</v>
      </c>
      <c r="B26" s="507" t="str">
        <f>IF('As-Filed Schedule 2I'!B26:D26=0,"",'As-Filed Schedule 2I'!B26:D26)</f>
        <v/>
      </c>
      <c r="C26" s="507"/>
      <c r="D26" s="507"/>
      <c r="F26" s="117">
        <f>'As-Filed Schedule 2I'!F26</f>
        <v>0</v>
      </c>
      <c r="G26" s="313">
        <f>SUMIFS(Adjustments!$G:$G,Adjustments!$H:$H,"2I",Adjustments!$I:$I,'Schedule 2I Adjustments'!$F$12,Adjustments!$J:$J,'Schedule 2I Adjustments'!$A26)</f>
        <v>0</v>
      </c>
      <c r="H26" s="309">
        <f t="shared" si="0"/>
        <v>0</v>
      </c>
      <c r="I26" s="68">
        <f>IFERROR(F26*'As-Filed Schedule 1'!$E$103,0)</f>
        <v>0</v>
      </c>
      <c r="J26" s="310">
        <f>IFERROR(H26*'Adjusted Schedule 1'!$E$104,0)</f>
        <v>0</v>
      </c>
      <c r="K26" s="68">
        <f t="shared" si="1"/>
        <v>0</v>
      </c>
      <c r="L26" s="310">
        <f t="shared" si="2"/>
        <v>0</v>
      </c>
      <c r="N26" s="117">
        <f>'As-Filed Schedule 2I'!J26</f>
        <v>0</v>
      </c>
      <c r="O26" s="313">
        <f>SUMIFS(Adjustments!$G:$G,Adjustments!$H:$H,"2I",Adjustments!$I:$I,'Schedule 2I Adjustments'!$N$12,Adjustments!$J:$J,'Schedule 2I Adjustments'!$A26)</f>
        <v>0</v>
      </c>
      <c r="P26" s="309">
        <f t="shared" si="3"/>
        <v>0</v>
      </c>
      <c r="Q26" s="68">
        <f>IFERROR(N26*'As-Filed Schedule 1'!$E$103,0)</f>
        <v>0</v>
      </c>
      <c r="R26" s="68">
        <f>IFERROR(P26*'Adjusted Schedule 1'!$E$104,0)</f>
        <v>0</v>
      </c>
      <c r="S26" s="68">
        <f t="shared" si="4"/>
        <v>0</v>
      </c>
      <c r="T26" s="310">
        <f t="shared" si="5"/>
        <v>0</v>
      </c>
      <c r="V26" s="120">
        <f>'As-Filed Schedule 2I'!N26</f>
        <v>0</v>
      </c>
      <c r="W26" s="313">
        <f>SUMIFS(Adjustments!$G:$G,Adjustments!$H:$H,"2I",Adjustments!$I:$I,'Schedule 2I Adjustments'!$V$12,Adjustments!$J:$J,'Schedule 2I Adjustments'!$A26)</f>
        <v>0</v>
      </c>
      <c r="X26" s="309">
        <f t="shared" si="6"/>
        <v>0</v>
      </c>
      <c r="Y26" s="120">
        <f>'As-Filed Schedule 2I'!O26</f>
        <v>0</v>
      </c>
      <c r="Z26" s="313">
        <f>SUMIFS(Adjustments!$G:$G,Adjustments!$H:$H,"2I",Adjustments!$I:$I,'Schedule 2I Adjustments'!$Y$12,Adjustments!$J:$J,'Schedule 2I Adjustments'!$A26)</f>
        <v>0</v>
      </c>
      <c r="AA26" s="309">
        <f t="shared" si="7"/>
        <v>0</v>
      </c>
    </row>
    <row r="27" spans="1:27" x14ac:dyDescent="0.35">
      <c r="A27" s="24">
        <v>13</v>
      </c>
      <c r="B27" s="507" t="str">
        <f>IF('As-Filed Schedule 2I'!B27:D27=0,"",'As-Filed Schedule 2I'!B27:D27)</f>
        <v/>
      </c>
      <c r="C27" s="507"/>
      <c r="D27" s="507"/>
      <c r="F27" s="117">
        <f>'As-Filed Schedule 2I'!F27</f>
        <v>0</v>
      </c>
      <c r="G27" s="313">
        <f>SUMIFS(Adjustments!$G:$G,Adjustments!$H:$H,"2I",Adjustments!$I:$I,'Schedule 2I Adjustments'!$F$12,Adjustments!$J:$J,'Schedule 2I Adjustments'!$A27)</f>
        <v>0</v>
      </c>
      <c r="H27" s="309">
        <f t="shared" si="0"/>
        <v>0</v>
      </c>
      <c r="I27" s="68">
        <f>IFERROR(F27*'As-Filed Schedule 1'!$E$103,0)</f>
        <v>0</v>
      </c>
      <c r="J27" s="310">
        <f>IFERROR(H27*'Adjusted Schedule 1'!$E$104,0)</f>
        <v>0</v>
      </c>
      <c r="K27" s="68">
        <f t="shared" si="1"/>
        <v>0</v>
      </c>
      <c r="L27" s="310">
        <f t="shared" si="2"/>
        <v>0</v>
      </c>
      <c r="N27" s="117">
        <f>'As-Filed Schedule 2I'!J27</f>
        <v>0</v>
      </c>
      <c r="O27" s="313">
        <f>SUMIFS(Adjustments!$G:$G,Adjustments!$H:$H,"2I",Adjustments!$I:$I,'Schedule 2I Adjustments'!$N$12,Adjustments!$J:$J,'Schedule 2I Adjustments'!$A27)</f>
        <v>0</v>
      </c>
      <c r="P27" s="309">
        <f t="shared" si="3"/>
        <v>0</v>
      </c>
      <c r="Q27" s="68">
        <f>IFERROR(N27*'As-Filed Schedule 1'!$E$103,0)</f>
        <v>0</v>
      </c>
      <c r="R27" s="68">
        <f>IFERROR(P27*'Adjusted Schedule 1'!$E$104,0)</f>
        <v>0</v>
      </c>
      <c r="S27" s="68">
        <f t="shared" si="4"/>
        <v>0</v>
      </c>
      <c r="T27" s="310">
        <f t="shared" si="5"/>
        <v>0</v>
      </c>
      <c r="V27" s="120">
        <f>'As-Filed Schedule 2I'!N27</f>
        <v>0</v>
      </c>
      <c r="W27" s="313">
        <f>SUMIFS(Adjustments!$G:$G,Adjustments!$H:$H,"2I",Adjustments!$I:$I,'Schedule 2I Adjustments'!$V$12,Adjustments!$J:$J,'Schedule 2I Adjustments'!$A27)</f>
        <v>0</v>
      </c>
      <c r="X27" s="309">
        <f t="shared" si="6"/>
        <v>0</v>
      </c>
      <c r="Y27" s="120">
        <f>'As-Filed Schedule 2I'!O27</f>
        <v>0</v>
      </c>
      <c r="Z27" s="313">
        <f>SUMIFS(Adjustments!$G:$G,Adjustments!$H:$H,"2I",Adjustments!$I:$I,'Schedule 2I Adjustments'!$Y$12,Adjustments!$J:$J,'Schedule 2I Adjustments'!$A27)</f>
        <v>0</v>
      </c>
      <c r="AA27" s="309">
        <f t="shared" si="7"/>
        <v>0</v>
      </c>
    </row>
    <row r="28" spans="1:27" x14ac:dyDescent="0.35">
      <c r="A28" s="24">
        <v>14</v>
      </c>
      <c r="B28" s="507" t="str">
        <f>IF('As-Filed Schedule 2I'!B28:D28=0,"",'As-Filed Schedule 2I'!B28:D28)</f>
        <v/>
      </c>
      <c r="C28" s="507"/>
      <c r="D28" s="507"/>
      <c r="F28" s="117">
        <f>'As-Filed Schedule 2I'!F28</f>
        <v>0</v>
      </c>
      <c r="G28" s="313">
        <f>SUMIFS(Adjustments!$G:$G,Adjustments!$H:$H,"2I",Adjustments!$I:$I,'Schedule 2I Adjustments'!$F$12,Adjustments!$J:$J,'Schedule 2I Adjustments'!$A28)</f>
        <v>0</v>
      </c>
      <c r="H28" s="309">
        <f t="shared" si="0"/>
        <v>0</v>
      </c>
      <c r="I28" s="68">
        <f>IFERROR(F28*'As-Filed Schedule 1'!$E$103,0)</f>
        <v>0</v>
      </c>
      <c r="J28" s="310">
        <f>IFERROR(H28*'Adjusted Schedule 1'!$E$104,0)</f>
        <v>0</v>
      </c>
      <c r="K28" s="68">
        <f t="shared" si="1"/>
        <v>0</v>
      </c>
      <c r="L28" s="310">
        <f t="shared" si="2"/>
        <v>0</v>
      </c>
      <c r="N28" s="117">
        <f>'As-Filed Schedule 2I'!J28</f>
        <v>0</v>
      </c>
      <c r="O28" s="313">
        <f>SUMIFS(Adjustments!$G:$G,Adjustments!$H:$H,"2I",Adjustments!$I:$I,'Schedule 2I Adjustments'!$N$12,Adjustments!$J:$J,'Schedule 2I Adjustments'!$A28)</f>
        <v>0</v>
      </c>
      <c r="P28" s="309">
        <f t="shared" si="3"/>
        <v>0</v>
      </c>
      <c r="Q28" s="68">
        <f>IFERROR(N28*'As-Filed Schedule 1'!$E$103,0)</f>
        <v>0</v>
      </c>
      <c r="R28" s="68">
        <f>IFERROR(P28*'Adjusted Schedule 1'!$E$104,0)</f>
        <v>0</v>
      </c>
      <c r="S28" s="68">
        <f t="shared" si="4"/>
        <v>0</v>
      </c>
      <c r="T28" s="310">
        <f t="shared" si="5"/>
        <v>0</v>
      </c>
      <c r="V28" s="120">
        <f>'As-Filed Schedule 2I'!N28</f>
        <v>0</v>
      </c>
      <c r="W28" s="313">
        <f>SUMIFS(Adjustments!$G:$G,Adjustments!$H:$H,"2I",Adjustments!$I:$I,'Schedule 2I Adjustments'!$V$12,Adjustments!$J:$J,'Schedule 2I Adjustments'!$A28)</f>
        <v>0</v>
      </c>
      <c r="X28" s="309">
        <f t="shared" si="6"/>
        <v>0</v>
      </c>
      <c r="Y28" s="120">
        <f>'As-Filed Schedule 2I'!O28</f>
        <v>0</v>
      </c>
      <c r="Z28" s="313">
        <f>SUMIFS(Adjustments!$G:$G,Adjustments!$H:$H,"2I",Adjustments!$I:$I,'Schedule 2I Adjustments'!$Y$12,Adjustments!$J:$J,'Schedule 2I Adjustments'!$A28)</f>
        <v>0</v>
      </c>
      <c r="AA28" s="309">
        <f t="shared" si="7"/>
        <v>0</v>
      </c>
    </row>
    <row r="29" spans="1:27" x14ac:dyDescent="0.35">
      <c r="A29" s="24">
        <v>15</v>
      </c>
      <c r="B29" s="507" t="str">
        <f>IF('As-Filed Schedule 2I'!B29:D29=0,"",'As-Filed Schedule 2I'!B29:D29)</f>
        <v/>
      </c>
      <c r="C29" s="507"/>
      <c r="D29" s="507"/>
      <c r="F29" s="117">
        <f>'As-Filed Schedule 2I'!F29</f>
        <v>0</v>
      </c>
      <c r="G29" s="313">
        <f>SUMIFS(Adjustments!$G:$G,Adjustments!$H:$H,"2I",Adjustments!$I:$I,'Schedule 2I Adjustments'!$F$12,Adjustments!$J:$J,'Schedule 2I Adjustments'!$A29)</f>
        <v>0</v>
      </c>
      <c r="H29" s="309">
        <f t="shared" si="0"/>
        <v>0</v>
      </c>
      <c r="I29" s="68">
        <f>IFERROR(F29*'As-Filed Schedule 1'!$E$103,0)</f>
        <v>0</v>
      </c>
      <c r="J29" s="310">
        <f>IFERROR(H29*'Adjusted Schedule 1'!$E$104,0)</f>
        <v>0</v>
      </c>
      <c r="K29" s="68">
        <f t="shared" si="1"/>
        <v>0</v>
      </c>
      <c r="L29" s="310">
        <f t="shared" si="2"/>
        <v>0</v>
      </c>
      <c r="N29" s="117">
        <f>'As-Filed Schedule 2I'!J29</f>
        <v>0</v>
      </c>
      <c r="O29" s="313">
        <f>SUMIFS(Adjustments!$G:$G,Adjustments!$H:$H,"2I",Adjustments!$I:$I,'Schedule 2I Adjustments'!$N$12,Adjustments!$J:$J,'Schedule 2I Adjustments'!$A29)</f>
        <v>0</v>
      </c>
      <c r="P29" s="309">
        <f t="shared" si="3"/>
        <v>0</v>
      </c>
      <c r="Q29" s="68">
        <f>IFERROR(N29*'As-Filed Schedule 1'!$E$103,0)</f>
        <v>0</v>
      </c>
      <c r="R29" s="68">
        <f>IFERROR(P29*'Adjusted Schedule 1'!$E$104,0)</f>
        <v>0</v>
      </c>
      <c r="S29" s="68">
        <f t="shared" si="4"/>
        <v>0</v>
      </c>
      <c r="T29" s="310">
        <f t="shared" si="5"/>
        <v>0</v>
      </c>
      <c r="V29" s="120">
        <f>'As-Filed Schedule 2I'!N29</f>
        <v>0</v>
      </c>
      <c r="W29" s="313">
        <f>SUMIFS(Adjustments!$G:$G,Adjustments!$H:$H,"2I",Adjustments!$I:$I,'Schedule 2I Adjustments'!$V$12,Adjustments!$J:$J,'Schedule 2I Adjustments'!$A29)</f>
        <v>0</v>
      </c>
      <c r="X29" s="309">
        <f t="shared" si="6"/>
        <v>0</v>
      </c>
      <c r="Y29" s="120">
        <f>'As-Filed Schedule 2I'!O29</f>
        <v>0</v>
      </c>
      <c r="Z29" s="313">
        <f>SUMIFS(Adjustments!$G:$G,Adjustments!$H:$H,"2I",Adjustments!$I:$I,'Schedule 2I Adjustments'!$Y$12,Adjustments!$J:$J,'Schedule 2I Adjustments'!$A29)</f>
        <v>0</v>
      </c>
      <c r="AA29" s="309">
        <f t="shared" si="7"/>
        <v>0</v>
      </c>
    </row>
    <row r="30" spans="1:27" x14ac:dyDescent="0.35">
      <c r="A30" s="24">
        <v>16</v>
      </c>
      <c r="B30" s="507" t="str">
        <f>IF('As-Filed Schedule 2I'!B30:D30=0,"",'As-Filed Schedule 2I'!B30:D30)</f>
        <v/>
      </c>
      <c r="C30" s="507"/>
      <c r="D30" s="507"/>
      <c r="F30" s="117">
        <f>'As-Filed Schedule 2I'!F30</f>
        <v>0</v>
      </c>
      <c r="G30" s="313">
        <f>SUMIFS(Adjustments!$G:$G,Adjustments!$H:$H,"2I",Adjustments!$I:$I,'Schedule 2I Adjustments'!$F$12,Adjustments!$J:$J,'Schedule 2I Adjustments'!$A30)</f>
        <v>0</v>
      </c>
      <c r="H30" s="309">
        <f t="shared" si="0"/>
        <v>0</v>
      </c>
      <c r="I30" s="68">
        <f>IFERROR(F30*'As-Filed Schedule 1'!$E$103,0)</f>
        <v>0</v>
      </c>
      <c r="J30" s="310">
        <f>IFERROR(H30*'Adjusted Schedule 1'!$E$104,0)</f>
        <v>0</v>
      </c>
      <c r="K30" s="68">
        <f t="shared" si="1"/>
        <v>0</v>
      </c>
      <c r="L30" s="310">
        <f t="shared" si="2"/>
        <v>0</v>
      </c>
      <c r="N30" s="117">
        <f>'As-Filed Schedule 2I'!J30</f>
        <v>0</v>
      </c>
      <c r="O30" s="313">
        <f>SUMIFS(Adjustments!$G:$G,Adjustments!$H:$H,"2I",Adjustments!$I:$I,'Schedule 2I Adjustments'!$N$12,Adjustments!$J:$J,'Schedule 2I Adjustments'!$A30)</f>
        <v>0</v>
      </c>
      <c r="P30" s="309">
        <f t="shared" si="3"/>
        <v>0</v>
      </c>
      <c r="Q30" s="68">
        <f>IFERROR(N30*'As-Filed Schedule 1'!$E$103,0)</f>
        <v>0</v>
      </c>
      <c r="R30" s="68">
        <f>IFERROR(P30*'Adjusted Schedule 1'!$E$104,0)</f>
        <v>0</v>
      </c>
      <c r="S30" s="68">
        <f t="shared" si="4"/>
        <v>0</v>
      </c>
      <c r="T30" s="310">
        <f t="shared" si="5"/>
        <v>0</v>
      </c>
      <c r="V30" s="120">
        <f>'As-Filed Schedule 2I'!N30</f>
        <v>0</v>
      </c>
      <c r="W30" s="313">
        <f>SUMIFS(Adjustments!$G:$G,Adjustments!$H:$H,"2I",Adjustments!$I:$I,'Schedule 2I Adjustments'!$V$12,Adjustments!$J:$J,'Schedule 2I Adjustments'!$A30)</f>
        <v>0</v>
      </c>
      <c r="X30" s="309">
        <f t="shared" si="6"/>
        <v>0</v>
      </c>
      <c r="Y30" s="120">
        <f>'As-Filed Schedule 2I'!O30</f>
        <v>0</v>
      </c>
      <c r="Z30" s="313">
        <f>SUMIFS(Adjustments!$G:$G,Adjustments!$H:$H,"2I",Adjustments!$I:$I,'Schedule 2I Adjustments'!$Y$12,Adjustments!$J:$J,'Schedule 2I Adjustments'!$A30)</f>
        <v>0</v>
      </c>
      <c r="AA30" s="309">
        <f t="shared" si="7"/>
        <v>0</v>
      </c>
    </row>
    <row r="31" spans="1:27" x14ac:dyDescent="0.35">
      <c r="A31" s="24">
        <v>17</v>
      </c>
      <c r="B31" s="507" t="str">
        <f>IF('As-Filed Schedule 2I'!B31:D31=0,"",'As-Filed Schedule 2I'!B31:D31)</f>
        <v/>
      </c>
      <c r="C31" s="507"/>
      <c r="D31" s="507"/>
      <c r="F31" s="117">
        <f>'As-Filed Schedule 2I'!F31</f>
        <v>0</v>
      </c>
      <c r="G31" s="313">
        <f>SUMIFS(Adjustments!$G:$G,Adjustments!$H:$H,"2I",Adjustments!$I:$I,'Schedule 2I Adjustments'!$F$12,Adjustments!$J:$J,'Schedule 2I Adjustments'!$A31)</f>
        <v>0</v>
      </c>
      <c r="H31" s="309">
        <f t="shared" si="0"/>
        <v>0</v>
      </c>
      <c r="I31" s="68">
        <f>IFERROR(F31*'As-Filed Schedule 1'!$E$103,0)</f>
        <v>0</v>
      </c>
      <c r="J31" s="310">
        <f>IFERROR(H31*'Adjusted Schedule 1'!$E$104,0)</f>
        <v>0</v>
      </c>
      <c r="K31" s="68">
        <f t="shared" si="1"/>
        <v>0</v>
      </c>
      <c r="L31" s="310">
        <f t="shared" si="2"/>
        <v>0</v>
      </c>
      <c r="N31" s="117">
        <f>'As-Filed Schedule 2I'!J31</f>
        <v>0</v>
      </c>
      <c r="O31" s="313">
        <f>SUMIFS(Adjustments!$G:$G,Adjustments!$H:$H,"2I",Adjustments!$I:$I,'Schedule 2I Adjustments'!$N$12,Adjustments!$J:$J,'Schedule 2I Adjustments'!$A31)</f>
        <v>0</v>
      </c>
      <c r="P31" s="309">
        <f t="shared" si="3"/>
        <v>0</v>
      </c>
      <c r="Q31" s="68">
        <f>IFERROR(N31*'As-Filed Schedule 1'!$E$103,0)</f>
        <v>0</v>
      </c>
      <c r="R31" s="68">
        <f>IFERROR(P31*'Adjusted Schedule 1'!$E$104,0)</f>
        <v>0</v>
      </c>
      <c r="S31" s="68">
        <f t="shared" si="4"/>
        <v>0</v>
      </c>
      <c r="T31" s="310">
        <f t="shared" si="5"/>
        <v>0</v>
      </c>
      <c r="V31" s="120">
        <f>'As-Filed Schedule 2I'!N31</f>
        <v>0</v>
      </c>
      <c r="W31" s="313">
        <f>SUMIFS(Adjustments!$G:$G,Adjustments!$H:$H,"2I",Adjustments!$I:$I,'Schedule 2I Adjustments'!$V$12,Adjustments!$J:$J,'Schedule 2I Adjustments'!$A31)</f>
        <v>0</v>
      </c>
      <c r="X31" s="309">
        <f t="shared" si="6"/>
        <v>0</v>
      </c>
      <c r="Y31" s="120">
        <f>'As-Filed Schedule 2I'!O31</f>
        <v>0</v>
      </c>
      <c r="Z31" s="313">
        <f>SUMIFS(Adjustments!$G:$G,Adjustments!$H:$H,"2I",Adjustments!$I:$I,'Schedule 2I Adjustments'!$Y$12,Adjustments!$J:$J,'Schedule 2I Adjustments'!$A31)</f>
        <v>0</v>
      </c>
      <c r="AA31" s="309">
        <f t="shared" si="7"/>
        <v>0</v>
      </c>
    </row>
    <row r="32" spans="1:27" x14ac:dyDescent="0.35">
      <c r="A32" s="24">
        <v>18</v>
      </c>
      <c r="B32" s="507" t="str">
        <f>IF('As-Filed Schedule 2I'!B32:D32=0,"",'As-Filed Schedule 2I'!B32:D32)</f>
        <v/>
      </c>
      <c r="C32" s="507"/>
      <c r="D32" s="507"/>
      <c r="F32" s="117">
        <f>'As-Filed Schedule 2I'!F32</f>
        <v>0</v>
      </c>
      <c r="G32" s="313">
        <f>SUMIFS(Adjustments!$G:$G,Adjustments!$H:$H,"2I",Adjustments!$I:$I,'Schedule 2I Adjustments'!$F$12,Adjustments!$J:$J,'Schedule 2I Adjustments'!$A32)</f>
        <v>0</v>
      </c>
      <c r="H32" s="309">
        <f t="shared" si="0"/>
        <v>0</v>
      </c>
      <c r="I32" s="68">
        <f>IFERROR(F32*'As-Filed Schedule 1'!$E$103,0)</f>
        <v>0</v>
      </c>
      <c r="J32" s="310">
        <f>IFERROR(H32*'Adjusted Schedule 1'!$E$104,0)</f>
        <v>0</v>
      </c>
      <c r="K32" s="68">
        <f t="shared" si="1"/>
        <v>0</v>
      </c>
      <c r="L32" s="310">
        <f t="shared" si="2"/>
        <v>0</v>
      </c>
      <c r="N32" s="117">
        <f>'As-Filed Schedule 2I'!J32</f>
        <v>0</v>
      </c>
      <c r="O32" s="313">
        <f>SUMIFS(Adjustments!$G:$G,Adjustments!$H:$H,"2I",Adjustments!$I:$I,'Schedule 2I Adjustments'!$N$12,Adjustments!$J:$J,'Schedule 2I Adjustments'!$A32)</f>
        <v>0</v>
      </c>
      <c r="P32" s="309">
        <f t="shared" si="3"/>
        <v>0</v>
      </c>
      <c r="Q32" s="68">
        <f>IFERROR(N32*'As-Filed Schedule 1'!$E$103,0)</f>
        <v>0</v>
      </c>
      <c r="R32" s="68">
        <f>IFERROR(P32*'Adjusted Schedule 1'!$E$104,0)</f>
        <v>0</v>
      </c>
      <c r="S32" s="68">
        <f t="shared" si="4"/>
        <v>0</v>
      </c>
      <c r="T32" s="310">
        <f t="shared" si="5"/>
        <v>0</v>
      </c>
      <c r="V32" s="120">
        <f>'As-Filed Schedule 2I'!N32</f>
        <v>0</v>
      </c>
      <c r="W32" s="313">
        <f>SUMIFS(Adjustments!$G:$G,Adjustments!$H:$H,"2I",Adjustments!$I:$I,'Schedule 2I Adjustments'!$V$12,Adjustments!$J:$J,'Schedule 2I Adjustments'!$A32)</f>
        <v>0</v>
      </c>
      <c r="X32" s="309">
        <f t="shared" si="6"/>
        <v>0</v>
      </c>
      <c r="Y32" s="120">
        <f>'As-Filed Schedule 2I'!O32</f>
        <v>0</v>
      </c>
      <c r="Z32" s="313">
        <f>SUMIFS(Adjustments!$G:$G,Adjustments!$H:$H,"2I",Adjustments!$I:$I,'Schedule 2I Adjustments'!$Y$12,Adjustments!$J:$J,'Schedule 2I Adjustments'!$A32)</f>
        <v>0</v>
      </c>
      <c r="AA32" s="309">
        <f t="shared" si="7"/>
        <v>0</v>
      </c>
    </row>
    <row r="33" spans="1:27" x14ac:dyDescent="0.35">
      <c r="A33" s="24">
        <v>19</v>
      </c>
      <c r="B33" s="507" t="str">
        <f>IF('As-Filed Schedule 2I'!B33:D33=0,"",'As-Filed Schedule 2I'!B33:D33)</f>
        <v/>
      </c>
      <c r="C33" s="507"/>
      <c r="D33" s="507"/>
      <c r="F33" s="117">
        <f>'As-Filed Schedule 2I'!F33</f>
        <v>0</v>
      </c>
      <c r="G33" s="313">
        <f>SUMIFS(Adjustments!$G:$G,Adjustments!$H:$H,"2I",Adjustments!$I:$I,'Schedule 2I Adjustments'!$F$12,Adjustments!$J:$J,'Schedule 2I Adjustments'!$A33)</f>
        <v>0</v>
      </c>
      <c r="H33" s="309">
        <f t="shared" si="0"/>
        <v>0</v>
      </c>
      <c r="I33" s="68">
        <f>IFERROR(F33*'As-Filed Schedule 1'!$E$103,0)</f>
        <v>0</v>
      </c>
      <c r="J33" s="310">
        <f>IFERROR(H33*'Adjusted Schedule 1'!$E$104,0)</f>
        <v>0</v>
      </c>
      <c r="K33" s="68">
        <f t="shared" si="1"/>
        <v>0</v>
      </c>
      <c r="L33" s="310">
        <f t="shared" si="2"/>
        <v>0</v>
      </c>
      <c r="N33" s="117">
        <f>'As-Filed Schedule 2I'!J33</f>
        <v>0</v>
      </c>
      <c r="O33" s="313">
        <f>SUMIFS(Adjustments!$G:$G,Adjustments!$H:$H,"2I",Adjustments!$I:$I,'Schedule 2I Adjustments'!$N$12,Adjustments!$J:$J,'Schedule 2I Adjustments'!$A33)</f>
        <v>0</v>
      </c>
      <c r="P33" s="309">
        <f t="shared" si="3"/>
        <v>0</v>
      </c>
      <c r="Q33" s="68">
        <f>IFERROR(N33*'As-Filed Schedule 1'!$E$103,0)</f>
        <v>0</v>
      </c>
      <c r="R33" s="68">
        <f>IFERROR(P33*'Adjusted Schedule 1'!$E$104,0)</f>
        <v>0</v>
      </c>
      <c r="S33" s="68">
        <f t="shared" si="4"/>
        <v>0</v>
      </c>
      <c r="T33" s="310">
        <f t="shared" si="5"/>
        <v>0</v>
      </c>
      <c r="V33" s="120">
        <f>'As-Filed Schedule 2I'!N33</f>
        <v>0</v>
      </c>
      <c r="W33" s="313">
        <f>SUMIFS(Adjustments!$G:$G,Adjustments!$H:$H,"2I",Adjustments!$I:$I,'Schedule 2I Adjustments'!$V$12,Adjustments!$J:$J,'Schedule 2I Adjustments'!$A33)</f>
        <v>0</v>
      </c>
      <c r="X33" s="309">
        <f t="shared" si="6"/>
        <v>0</v>
      </c>
      <c r="Y33" s="120">
        <f>'As-Filed Schedule 2I'!O33</f>
        <v>0</v>
      </c>
      <c r="Z33" s="313">
        <f>SUMIFS(Adjustments!$G:$G,Adjustments!$H:$H,"2I",Adjustments!$I:$I,'Schedule 2I Adjustments'!$Y$12,Adjustments!$J:$J,'Schedule 2I Adjustments'!$A33)</f>
        <v>0</v>
      </c>
      <c r="AA33" s="309">
        <f t="shared" si="7"/>
        <v>0</v>
      </c>
    </row>
    <row r="34" spans="1:27" x14ac:dyDescent="0.35">
      <c r="A34" s="24">
        <v>20</v>
      </c>
      <c r="B34" s="507" t="str">
        <f>IF('As-Filed Schedule 2I'!B34:D34=0,"",'As-Filed Schedule 2I'!B34:D34)</f>
        <v/>
      </c>
      <c r="C34" s="507"/>
      <c r="D34" s="507"/>
      <c r="F34" s="117">
        <f>'As-Filed Schedule 2I'!F34</f>
        <v>0</v>
      </c>
      <c r="G34" s="313">
        <f>SUMIFS(Adjustments!$G:$G,Adjustments!$H:$H,"2I",Adjustments!$I:$I,'Schedule 2I Adjustments'!$F$12,Adjustments!$J:$J,'Schedule 2I Adjustments'!$A34)</f>
        <v>0</v>
      </c>
      <c r="H34" s="309">
        <f t="shared" si="0"/>
        <v>0</v>
      </c>
      <c r="I34" s="68">
        <f>IFERROR(F34*'As-Filed Schedule 1'!$E$103,0)</f>
        <v>0</v>
      </c>
      <c r="J34" s="310">
        <f>IFERROR(H34*'Adjusted Schedule 1'!$E$104,0)</f>
        <v>0</v>
      </c>
      <c r="K34" s="68">
        <f t="shared" si="1"/>
        <v>0</v>
      </c>
      <c r="L34" s="310">
        <f t="shared" si="2"/>
        <v>0</v>
      </c>
      <c r="N34" s="117">
        <f>'As-Filed Schedule 2I'!J34</f>
        <v>0</v>
      </c>
      <c r="O34" s="313">
        <f>SUMIFS(Adjustments!$G:$G,Adjustments!$H:$H,"2I",Adjustments!$I:$I,'Schedule 2I Adjustments'!$N$12,Adjustments!$J:$J,'Schedule 2I Adjustments'!$A34)</f>
        <v>0</v>
      </c>
      <c r="P34" s="309">
        <f t="shared" si="3"/>
        <v>0</v>
      </c>
      <c r="Q34" s="68">
        <f>IFERROR(N34*'As-Filed Schedule 1'!$E$103,0)</f>
        <v>0</v>
      </c>
      <c r="R34" s="68">
        <f>IFERROR(P34*'Adjusted Schedule 1'!$E$104,0)</f>
        <v>0</v>
      </c>
      <c r="S34" s="68">
        <f t="shared" si="4"/>
        <v>0</v>
      </c>
      <c r="T34" s="310">
        <f t="shared" si="5"/>
        <v>0</v>
      </c>
      <c r="V34" s="120">
        <f>'As-Filed Schedule 2I'!N34</f>
        <v>0</v>
      </c>
      <c r="W34" s="313">
        <f>SUMIFS(Adjustments!$G:$G,Adjustments!$H:$H,"2I",Adjustments!$I:$I,'Schedule 2I Adjustments'!$V$12,Adjustments!$J:$J,'Schedule 2I Adjustments'!$A34)</f>
        <v>0</v>
      </c>
      <c r="X34" s="309">
        <f t="shared" si="6"/>
        <v>0</v>
      </c>
      <c r="Y34" s="120">
        <f>'As-Filed Schedule 2I'!O34</f>
        <v>0</v>
      </c>
      <c r="Z34" s="313">
        <f>SUMIFS(Adjustments!$G:$G,Adjustments!$H:$H,"2I",Adjustments!$I:$I,'Schedule 2I Adjustments'!$Y$12,Adjustments!$J:$J,'Schedule 2I Adjustments'!$A34)</f>
        <v>0</v>
      </c>
      <c r="AA34" s="309">
        <f t="shared" si="7"/>
        <v>0</v>
      </c>
    </row>
    <row r="35" spans="1:27" x14ac:dyDescent="0.35">
      <c r="A35" s="24">
        <v>21</v>
      </c>
      <c r="B35" s="507" t="str">
        <f>IF('As-Filed Schedule 2I'!B35:D35=0,"",'As-Filed Schedule 2I'!B35:D35)</f>
        <v/>
      </c>
      <c r="C35" s="507"/>
      <c r="D35" s="507"/>
      <c r="F35" s="117">
        <f>'As-Filed Schedule 2I'!F35</f>
        <v>0</v>
      </c>
      <c r="G35" s="313">
        <f>SUMIFS(Adjustments!$G:$G,Adjustments!$H:$H,"2I",Adjustments!$I:$I,'Schedule 2I Adjustments'!$F$12,Adjustments!$J:$J,'Schedule 2I Adjustments'!$A35)</f>
        <v>0</v>
      </c>
      <c r="H35" s="309">
        <f t="shared" si="0"/>
        <v>0</v>
      </c>
      <c r="I35" s="68">
        <f>IFERROR(F35*'As-Filed Schedule 1'!$E$103,0)</f>
        <v>0</v>
      </c>
      <c r="J35" s="310">
        <f>IFERROR(H35*'Adjusted Schedule 1'!$E$104,0)</f>
        <v>0</v>
      </c>
      <c r="K35" s="68">
        <f t="shared" si="1"/>
        <v>0</v>
      </c>
      <c r="L35" s="310">
        <f t="shared" si="2"/>
        <v>0</v>
      </c>
      <c r="N35" s="117">
        <f>'As-Filed Schedule 2I'!J35</f>
        <v>0</v>
      </c>
      <c r="O35" s="313">
        <f>SUMIFS(Adjustments!$G:$G,Adjustments!$H:$H,"2I",Adjustments!$I:$I,'Schedule 2I Adjustments'!$N$12,Adjustments!$J:$J,'Schedule 2I Adjustments'!$A35)</f>
        <v>0</v>
      </c>
      <c r="P35" s="309">
        <f t="shared" si="3"/>
        <v>0</v>
      </c>
      <c r="Q35" s="68">
        <f>IFERROR(N35*'As-Filed Schedule 1'!$E$103,0)</f>
        <v>0</v>
      </c>
      <c r="R35" s="68">
        <f>IFERROR(P35*'Adjusted Schedule 1'!$E$104,0)</f>
        <v>0</v>
      </c>
      <c r="S35" s="68">
        <f t="shared" si="4"/>
        <v>0</v>
      </c>
      <c r="T35" s="310">
        <f t="shared" si="5"/>
        <v>0</v>
      </c>
      <c r="V35" s="120">
        <f>'As-Filed Schedule 2I'!N35</f>
        <v>0</v>
      </c>
      <c r="W35" s="313">
        <f>SUMIFS(Adjustments!$G:$G,Adjustments!$H:$H,"2I",Adjustments!$I:$I,'Schedule 2I Adjustments'!$V$12,Adjustments!$J:$J,'Schedule 2I Adjustments'!$A35)</f>
        <v>0</v>
      </c>
      <c r="X35" s="309">
        <f t="shared" si="6"/>
        <v>0</v>
      </c>
      <c r="Y35" s="120">
        <f>'As-Filed Schedule 2I'!O35</f>
        <v>0</v>
      </c>
      <c r="Z35" s="313">
        <f>SUMIFS(Adjustments!$G:$G,Adjustments!$H:$H,"2I",Adjustments!$I:$I,'Schedule 2I Adjustments'!$Y$12,Adjustments!$J:$J,'Schedule 2I Adjustments'!$A35)</f>
        <v>0</v>
      </c>
      <c r="AA35" s="309">
        <f t="shared" si="7"/>
        <v>0</v>
      </c>
    </row>
    <row r="36" spans="1:27" x14ac:dyDescent="0.35">
      <c r="A36" s="24">
        <v>22</v>
      </c>
      <c r="B36" s="507" t="str">
        <f>IF('As-Filed Schedule 2I'!B36:D36=0,"",'As-Filed Schedule 2I'!B36:D36)</f>
        <v/>
      </c>
      <c r="C36" s="507"/>
      <c r="D36" s="507"/>
      <c r="F36" s="117">
        <f>'As-Filed Schedule 2I'!F36</f>
        <v>0</v>
      </c>
      <c r="G36" s="313">
        <f>SUMIFS(Adjustments!$G:$G,Adjustments!$H:$H,"2I",Adjustments!$I:$I,'Schedule 2I Adjustments'!$F$12,Adjustments!$J:$J,'Schedule 2I Adjustments'!$A36)</f>
        <v>0</v>
      </c>
      <c r="H36" s="309">
        <f t="shared" si="0"/>
        <v>0</v>
      </c>
      <c r="I36" s="68">
        <f>IFERROR(F36*'As-Filed Schedule 1'!$E$103,0)</f>
        <v>0</v>
      </c>
      <c r="J36" s="310">
        <f>IFERROR(H36*'Adjusted Schedule 1'!$E$104,0)</f>
        <v>0</v>
      </c>
      <c r="K36" s="68">
        <f t="shared" si="1"/>
        <v>0</v>
      </c>
      <c r="L36" s="310">
        <f t="shared" si="2"/>
        <v>0</v>
      </c>
      <c r="N36" s="117">
        <f>'As-Filed Schedule 2I'!J36</f>
        <v>0</v>
      </c>
      <c r="O36" s="313">
        <f>SUMIFS(Adjustments!$G:$G,Adjustments!$H:$H,"2I",Adjustments!$I:$I,'Schedule 2I Adjustments'!$N$12,Adjustments!$J:$J,'Schedule 2I Adjustments'!$A36)</f>
        <v>0</v>
      </c>
      <c r="P36" s="309">
        <f t="shared" si="3"/>
        <v>0</v>
      </c>
      <c r="Q36" s="68">
        <f>IFERROR(N36*'As-Filed Schedule 1'!$E$103,0)</f>
        <v>0</v>
      </c>
      <c r="R36" s="68">
        <f>IFERROR(P36*'Adjusted Schedule 1'!$E$104,0)</f>
        <v>0</v>
      </c>
      <c r="S36" s="68">
        <f t="shared" si="4"/>
        <v>0</v>
      </c>
      <c r="T36" s="310">
        <f t="shared" si="5"/>
        <v>0</v>
      </c>
      <c r="V36" s="120">
        <f>'As-Filed Schedule 2I'!N36</f>
        <v>0</v>
      </c>
      <c r="W36" s="313">
        <f>SUMIFS(Adjustments!$G:$G,Adjustments!$H:$H,"2I",Adjustments!$I:$I,'Schedule 2I Adjustments'!$V$12,Adjustments!$J:$J,'Schedule 2I Adjustments'!$A36)</f>
        <v>0</v>
      </c>
      <c r="X36" s="309">
        <f t="shared" si="6"/>
        <v>0</v>
      </c>
      <c r="Y36" s="120">
        <f>'As-Filed Schedule 2I'!O36</f>
        <v>0</v>
      </c>
      <c r="Z36" s="313">
        <f>SUMIFS(Adjustments!$G:$G,Adjustments!$H:$H,"2I",Adjustments!$I:$I,'Schedule 2I Adjustments'!$Y$12,Adjustments!$J:$J,'Schedule 2I Adjustments'!$A36)</f>
        <v>0</v>
      </c>
      <c r="AA36" s="309">
        <f t="shared" si="7"/>
        <v>0</v>
      </c>
    </row>
    <row r="37" spans="1:27" x14ac:dyDescent="0.35">
      <c r="A37" s="24">
        <v>23</v>
      </c>
      <c r="B37" s="507" t="str">
        <f>IF('As-Filed Schedule 2I'!B37:D37=0,"",'As-Filed Schedule 2I'!B37:D37)</f>
        <v/>
      </c>
      <c r="C37" s="507"/>
      <c r="D37" s="507"/>
      <c r="F37" s="117">
        <f>'As-Filed Schedule 2I'!F37</f>
        <v>0</v>
      </c>
      <c r="G37" s="313">
        <f>SUMIFS(Adjustments!$G:$G,Adjustments!$H:$H,"2I",Adjustments!$I:$I,'Schedule 2I Adjustments'!$F$12,Adjustments!$J:$J,'Schedule 2I Adjustments'!$A37)</f>
        <v>0</v>
      </c>
      <c r="H37" s="309">
        <f t="shared" si="0"/>
        <v>0</v>
      </c>
      <c r="I37" s="68">
        <f>IFERROR(F37*'As-Filed Schedule 1'!$E$103,0)</f>
        <v>0</v>
      </c>
      <c r="J37" s="310">
        <f>IFERROR(H37*'Adjusted Schedule 1'!$E$104,0)</f>
        <v>0</v>
      </c>
      <c r="K37" s="68">
        <f t="shared" si="1"/>
        <v>0</v>
      </c>
      <c r="L37" s="310">
        <f t="shared" si="2"/>
        <v>0</v>
      </c>
      <c r="N37" s="117">
        <f>'As-Filed Schedule 2I'!J37</f>
        <v>0</v>
      </c>
      <c r="O37" s="313">
        <f>SUMIFS(Adjustments!$G:$G,Adjustments!$H:$H,"2I",Adjustments!$I:$I,'Schedule 2I Adjustments'!$N$12,Adjustments!$J:$J,'Schedule 2I Adjustments'!$A37)</f>
        <v>0</v>
      </c>
      <c r="P37" s="309">
        <f t="shared" si="3"/>
        <v>0</v>
      </c>
      <c r="Q37" s="68">
        <f>IFERROR(N37*'As-Filed Schedule 1'!$E$103,0)</f>
        <v>0</v>
      </c>
      <c r="R37" s="68">
        <f>IFERROR(P37*'Adjusted Schedule 1'!$E$104,0)</f>
        <v>0</v>
      </c>
      <c r="S37" s="68">
        <f t="shared" si="4"/>
        <v>0</v>
      </c>
      <c r="T37" s="310">
        <f t="shared" si="5"/>
        <v>0</v>
      </c>
      <c r="V37" s="120">
        <f>'As-Filed Schedule 2I'!N37</f>
        <v>0</v>
      </c>
      <c r="W37" s="313">
        <f>SUMIFS(Adjustments!$G:$G,Adjustments!$H:$H,"2I",Adjustments!$I:$I,'Schedule 2I Adjustments'!$V$12,Adjustments!$J:$J,'Schedule 2I Adjustments'!$A37)</f>
        <v>0</v>
      </c>
      <c r="X37" s="309">
        <f t="shared" si="6"/>
        <v>0</v>
      </c>
      <c r="Y37" s="120">
        <f>'As-Filed Schedule 2I'!O37</f>
        <v>0</v>
      </c>
      <c r="Z37" s="313">
        <f>SUMIFS(Adjustments!$G:$G,Adjustments!$H:$H,"2I",Adjustments!$I:$I,'Schedule 2I Adjustments'!$Y$12,Adjustments!$J:$J,'Schedule 2I Adjustments'!$A37)</f>
        <v>0</v>
      </c>
      <c r="AA37" s="309">
        <f t="shared" si="7"/>
        <v>0</v>
      </c>
    </row>
    <row r="38" spans="1:27" x14ac:dyDescent="0.35">
      <c r="A38" s="24">
        <v>24</v>
      </c>
      <c r="B38" s="507" t="str">
        <f>IF('As-Filed Schedule 2I'!B38:D38=0,"",'As-Filed Schedule 2I'!B38:D38)</f>
        <v/>
      </c>
      <c r="C38" s="507"/>
      <c r="D38" s="507"/>
      <c r="F38" s="117">
        <f>'As-Filed Schedule 2I'!F38</f>
        <v>0</v>
      </c>
      <c r="G38" s="313">
        <f>SUMIFS(Adjustments!$G:$G,Adjustments!$H:$H,"2I",Adjustments!$I:$I,'Schedule 2I Adjustments'!$F$12,Adjustments!$J:$J,'Schedule 2I Adjustments'!$A38)</f>
        <v>0</v>
      </c>
      <c r="H38" s="309">
        <f t="shared" si="0"/>
        <v>0</v>
      </c>
      <c r="I38" s="68">
        <f>IFERROR(F38*'As-Filed Schedule 1'!$E$103,0)</f>
        <v>0</v>
      </c>
      <c r="J38" s="310">
        <f>IFERROR(H38*'Adjusted Schedule 1'!$E$104,0)</f>
        <v>0</v>
      </c>
      <c r="K38" s="68">
        <f t="shared" si="1"/>
        <v>0</v>
      </c>
      <c r="L38" s="310">
        <f t="shared" si="2"/>
        <v>0</v>
      </c>
      <c r="N38" s="117">
        <f>'As-Filed Schedule 2I'!J38</f>
        <v>0</v>
      </c>
      <c r="O38" s="313">
        <f>SUMIFS(Adjustments!$G:$G,Adjustments!$H:$H,"2I",Adjustments!$I:$I,'Schedule 2I Adjustments'!$N$12,Adjustments!$J:$J,'Schedule 2I Adjustments'!$A38)</f>
        <v>0</v>
      </c>
      <c r="P38" s="309">
        <f t="shared" si="3"/>
        <v>0</v>
      </c>
      <c r="Q38" s="68">
        <f>IFERROR(N38*'As-Filed Schedule 1'!$E$103,0)</f>
        <v>0</v>
      </c>
      <c r="R38" s="68">
        <f>IFERROR(P38*'Adjusted Schedule 1'!$E$104,0)</f>
        <v>0</v>
      </c>
      <c r="S38" s="68">
        <f t="shared" si="4"/>
        <v>0</v>
      </c>
      <c r="T38" s="310">
        <f t="shared" si="5"/>
        <v>0</v>
      </c>
      <c r="V38" s="120">
        <f>'As-Filed Schedule 2I'!N38</f>
        <v>0</v>
      </c>
      <c r="W38" s="313">
        <f>SUMIFS(Adjustments!$G:$G,Adjustments!$H:$H,"2I",Adjustments!$I:$I,'Schedule 2I Adjustments'!$V$12,Adjustments!$J:$J,'Schedule 2I Adjustments'!$A38)</f>
        <v>0</v>
      </c>
      <c r="X38" s="309">
        <f t="shared" si="6"/>
        <v>0</v>
      </c>
      <c r="Y38" s="120">
        <f>'As-Filed Schedule 2I'!O38</f>
        <v>0</v>
      </c>
      <c r="Z38" s="313">
        <f>SUMIFS(Adjustments!$G:$G,Adjustments!$H:$H,"2I",Adjustments!$I:$I,'Schedule 2I Adjustments'!$Y$12,Adjustments!$J:$J,'Schedule 2I Adjustments'!$A38)</f>
        <v>0</v>
      </c>
      <c r="AA38" s="309">
        <f t="shared" si="7"/>
        <v>0</v>
      </c>
    </row>
    <row r="39" spans="1:27" x14ac:dyDescent="0.35">
      <c r="A39" s="24">
        <v>25</v>
      </c>
      <c r="B39" s="507" t="str">
        <f>IF('As-Filed Schedule 2I'!B39:D39=0,"",'As-Filed Schedule 2I'!B39:D39)</f>
        <v/>
      </c>
      <c r="C39" s="507"/>
      <c r="D39" s="507"/>
      <c r="F39" s="117">
        <f>'As-Filed Schedule 2I'!F39</f>
        <v>0</v>
      </c>
      <c r="G39" s="313">
        <f>SUMIFS(Adjustments!$G:$G,Adjustments!$H:$H,"2I",Adjustments!$I:$I,'Schedule 2I Adjustments'!$F$12,Adjustments!$J:$J,'Schedule 2I Adjustments'!$A39)</f>
        <v>0</v>
      </c>
      <c r="H39" s="309">
        <f t="shared" si="0"/>
        <v>0</v>
      </c>
      <c r="I39" s="68">
        <f>IFERROR(F39*'As-Filed Schedule 1'!$E$103,0)</f>
        <v>0</v>
      </c>
      <c r="J39" s="310">
        <f>IFERROR(H39*'Adjusted Schedule 1'!$E$104,0)</f>
        <v>0</v>
      </c>
      <c r="K39" s="68">
        <f t="shared" si="1"/>
        <v>0</v>
      </c>
      <c r="L39" s="310">
        <f t="shared" si="2"/>
        <v>0</v>
      </c>
      <c r="N39" s="117">
        <f>'As-Filed Schedule 2I'!J39</f>
        <v>0</v>
      </c>
      <c r="O39" s="313">
        <f>SUMIFS(Adjustments!$G:$G,Adjustments!$H:$H,"2I",Adjustments!$I:$I,'Schedule 2I Adjustments'!$N$12,Adjustments!$J:$J,'Schedule 2I Adjustments'!$A39)</f>
        <v>0</v>
      </c>
      <c r="P39" s="309">
        <f t="shared" si="3"/>
        <v>0</v>
      </c>
      <c r="Q39" s="68">
        <f>IFERROR(N39*'As-Filed Schedule 1'!$E$103,0)</f>
        <v>0</v>
      </c>
      <c r="R39" s="68">
        <f>IFERROR(P39*'Adjusted Schedule 1'!$E$104,0)</f>
        <v>0</v>
      </c>
      <c r="S39" s="68">
        <f t="shared" si="4"/>
        <v>0</v>
      </c>
      <c r="T39" s="310">
        <f t="shared" si="5"/>
        <v>0</v>
      </c>
      <c r="V39" s="120">
        <f>'As-Filed Schedule 2I'!N39</f>
        <v>0</v>
      </c>
      <c r="W39" s="313">
        <f>SUMIFS(Adjustments!$G:$G,Adjustments!$H:$H,"2I",Adjustments!$I:$I,'Schedule 2I Adjustments'!$V$12,Adjustments!$J:$J,'Schedule 2I Adjustments'!$A39)</f>
        <v>0</v>
      </c>
      <c r="X39" s="309">
        <f t="shared" si="6"/>
        <v>0</v>
      </c>
      <c r="Y39" s="120">
        <f>'As-Filed Schedule 2I'!O39</f>
        <v>0</v>
      </c>
      <c r="Z39" s="313">
        <f>SUMIFS(Adjustments!$G:$G,Adjustments!$H:$H,"2I",Adjustments!$I:$I,'Schedule 2I Adjustments'!$Y$12,Adjustments!$J:$J,'Schedule 2I Adjustments'!$A39)</f>
        <v>0</v>
      </c>
      <c r="AA39" s="309">
        <f t="shared" si="7"/>
        <v>0</v>
      </c>
    </row>
    <row r="40" spans="1:27" x14ac:dyDescent="0.35">
      <c r="A40" s="24">
        <v>26</v>
      </c>
      <c r="B40" s="507" t="str">
        <f>IF('As-Filed Schedule 2I'!B40:D40=0,"",'As-Filed Schedule 2I'!B40:D40)</f>
        <v/>
      </c>
      <c r="C40" s="507"/>
      <c r="D40" s="507"/>
      <c r="F40" s="117">
        <f>'As-Filed Schedule 2I'!F40</f>
        <v>0</v>
      </c>
      <c r="G40" s="313">
        <f>SUMIFS(Adjustments!$G:$G,Adjustments!$H:$H,"2I",Adjustments!$I:$I,'Schedule 2I Adjustments'!$F$12,Adjustments!$J:$J,'Schedule 2I Adjustments'!$A40)</f>
        <v>0</v>
      </c>
      <c r="H40" s="309">
        <f t="shared" si="0"/>
        <v>0</v>
      </c>
      <c r="I40" s="68">
        <f>IFERROR(F40*'As-Filed Schedule 1'!$E$103,0)</f>
        <v>0</v>
      </c>
      <c r="J40" s="310">
        <f>IFERROR(H40*'Adjusted Schedule 1'!$E$104,0)</f>
        <v>0</v>
      </c>
      <c r="K40" s="68">
        <f t="shared" si="1"/>
        <v>0</v>
      </c>
      <c r="L40" s="310">
        <f t="shared" si="2"/>
        <v>0</v>
      </c>
      <c r="N40" s="117">
        <f>'As-Filed Schedule 2I'!J40</f>
        <v>0</v>
      </c>
      <c r="O40" s="313">
        <f>SUMIFS(Adjustments!$G:$G,Adjustments!$H:$H,"2I",Adjustments!$I:$I,'Schedule 2I Adjustments'!$N$12,Adjustments!$J:$J,'Schedule 2I Adjustments'!$A40)</f>
        <v>0</v>
      </c>
      <c r="P40" s="309">
        <f t="shared" si="3"/>
        <v>0</v>
      </c>
      <c r="Q40" s="68">
        <f>IFERROR(N40*'As-Filed Schedule 1'!$E$103,0)</f>
        <v>0</v>
      </c>
      <c r="R40" s="68">
        <f>IFERROR(P40*'Adjusted Schedule 1'!$E$104,0)</f>
        <v>0</v>
      </c>
      <c r="S40" s="68">
        <f t="shared" si="4"/>
        <v>0</v>
      </c>
      <c r="T40" s="310">
        <f t="shared" si="5"/>
        <v>0</v>
      </c>
      <c r="V40" s="120">
        <f>'As-Filed Schedule 2I'!N40</f>
        <v>0</v>
      </c>
      <c r="W40" s="313">
        <f>SUMIFS(Adjustments!$G:$G,Adjustments!$H:$H,"2I",Adjustments!$I:$I,'Schedule 2I Adjustments'!$V$12,Adjustments!$J:$J,'Schedule 2I Adjustments'!$A40)</f>
        <v>0</v>
      </c>
      <c r="X40" s="309">
        <f t="shared" si="6"/>
        <v>0</v>
      </c>
      <c r="Y40" s="120">
        <f>'As-Filed Schedule 2I'!O40</f>
        <v>0</v>
      </c>
      <c r="Z40" s="313">
        <f>SUMIFS(Adjustments!$G:$G,Adjustments!$H:$H,"2I",Adjustments!$I:$I,'Schedule 2I Adjustments'!$Y$12,Adjustments!$J:$J,'Schedule 2I Adjustments'!$A40)</f>
        <v>0</v>
      </c>
      <c r="AA40" s="309">
        <f t="shared" si="7"/>
        <v>0</v>
      </c>
    </row>
    <row r="41" spans="1:27" x14ac:dyDescent="0.35">
      <c r="A41" s="24">
        <v>27</v>
      </c>
      <c r="B41" s="507" t="str">
        <f>IF('As-Filed Schedule 2I'!B41:D41=0,"",'As-Filed Schedule 2I'!B41:D41)</f>
        <v/>
      </c>
      <c r="C41" s="507"/>
      <c r="D41" s="507"/>
      <c r="F41" s="117">
        <f>'As-Filed Schedule 2I'!F41</f>
        <v>0</v>
      </c>
      <c r="G41" s="313">
        <f>SUMIFS(Adjustments!$G:$G,Adjustments!$H:$H,"2I",Adjustments!$I:$I,'Schedule 2I Adjustments'!$F$12,Adjustments!$J:$J,'Schedule 2I Adjustments'!$A41)</f>
        <v>0</v>
      </c>
      <c r="H41" s="309">
        <f t="shared" si="0"/>
        <v>0</v>
      </c>
      <c r="I41" s="68">
        <f>IFERROR(F41*'As-Filed Schedule 1'!$E$103,0)</f>
        <v>0</v>
      </c>
      <c r="J41" s="310">
        <f>IFERROR(H41*'Adjusted Schedule 1'!$E$104,0)</f>
        <v>0</v>
      </c>
      <c r="K41" s="68">
        <f t="shared" si="1"/>
        <v>0</v>
      </c>
      <c r="L41" s="310">
        <f t="shared" si="2"/>
        <v>0</v>
      </c>
      <c r="N41" s="117">
        <f>'As-Filed Schedule 2I'!J41</f>
        <v>0</v>
      </c>
      <c r="O41" s="313">
        <f>SUMIFS(Adjustments!$G:$G,Adjustments!$H:$H,"2I",Adjustments!$I:$I,'Schedule 2I Adjustments'!$N$12,Adjustments!$J:$J,'Schedule 2I Adjustments'!$A41)</f>
        <v>0</v>
      </c>
      <c r="P41" s="309">
        <f t="shared" si="3"/>
        <v>0</v>
      </c>
      <c r="Q41" s="68">
        <f>IFERROR(N41*'As-Filed Schedule 1'!$E$103,0)</f>
        <v>0</v>
      </c>
      <c r="R41" s="68">
        <f>IFERROR(P41*'Adjusted Schedule 1'!$E$104,0)</f>
        <v>0</v>
      </c>
      <c r="S41" s="68">
        <f t="shared" si="4"/>
        <v>0</v>
      </c>
      <c r="T41" s="310">
        <f t="shared" si="5"/>
        <v>0</v>
      </c>
      <c r="V41" s="120">
        <f>'As-Filed Schedule 2I'!N41</f>
        <v>0</v>
      </c>
      <c r="W41" s="313">
        <f>SUMIFS(Adjustments!$G:$G,Adjustments!$H:$H,"2I",Adjustments!$I:$I,'Schedule 2I Adjustments'!$V$12,Adjustments!$J:$J,'Schedule 2I Adjustments'!$A41)</f>
        <v>0</v>
      </c>
      <c r="X41" s="309">
        <f t="shared" si="6"/>
        <v>0</v>
      </c>
      <c r="Y41" s="120">
        <f>'As-Filed Schedule 2I'!O41</f>
        <v>0</v>
      </c>
      <c r="Z41" s="313">
        <f>SUMIFS(Adjustments!$G:$G,Adjustments!$H:$H,"2I",Adjustments!$I:$I,'Schedule 2I Adjustments'!$Y$12,Adjustments!$J:$J,'Schedule 2I Adjustments'!$A41)</f>
        <v>0</v>
      </c>
      <c r="AA41" s="309">
        <f t="shared" si="7"/>
        <v>0</v>
      </c>
    </row>
    <row r="42" spans="1:27" x14ac:dyDescent="0.35">
      <c r="A42" s="24">
        <v>28</v>
      </c>
      <c r="B42" s="507" t="str">
        <f>IF('As-Filed Schedule 2I'!B42:D42=0,"",'As-Filed Schedule 2I'!B42:D42)</f>
        <v/>
      </c>
      <c r="C42" s="507"/>
      <c r="D42" s="507"/>
      <c r="F42" s="117">
        <f>'As-Filed Schedule 2I'!F42</f>
        <v>0</v>
      </c>
      <c r="G42" s="313">
        <f>SUMIFS(Adjustments!$G:$G,Adjustments!$H:$H,"2I",Adjustments!$I:$I,'Schedule 2I Adjustments'!$F$12,Adjustments!$J:$J,'Schedule 2I Adjustments'!$A42)</f>
        <v>0</v>
      </c>
      <c r="H42" s="309">
        <f t="shared" si="0"/>
        <v>0</v>
      </c>
      <c r="I42" s="68">
        <f>IFERROR(F42*'As-Filed Schedule 1'!$E$103,0)</f>
        <v>0</v>
      </c>
      <c r="J42" s="310">
        <f>IFERROR(H42*'Adjusted Schedule 1'!$E$104,0)</f>
        <v>0</v>
      </c>
      <c r="K42" s="68">
        <f t="shared" si="1"/>
        <v>0</v>
      </c>
      <c r="L42" s="310">
        <f t="shared" si="2"/>
        <v>0</v>
      </c>
      <c r="N42" s="117">
        <f>'As-Filed Schedule 2I'!J42</f>
        <v>0</v>
      </c>
      <c r="O42" s="313">
        <f>SUMIFS(Adjustments!$G:$G,Adjustments!$H:$H,"2I",Adjustments!$I:$I,'Schedule 2I Adjustments'!$N$12,Adjustments!$J:$J,'Schedule 2I Adjustments'!$A42)</f>
        <v>0</v>
      </c>
      <c r="P42" s="309">
        <f t="shared" si="3"/>
        <v>0</v>
      </c>
      <c r="Q42" s="68">
        <f>IFERROR(N42*'As-Filed Schedule 1'!$E$103,0)</f>
        <v>0</v>
      </c>
      <c r="R42" s="68">
        <f>IFERROR(P42*'Adjusted Schedule 1'!$E$104,0)</f>
        <v>0</v>
      </c>
      <c r="S42" s="68">
        <f t="shared" si="4"/>
        <v>0</v>
      </c>
      <c r="T42" s="310">
        <f t="shared" si="5"/>
        <v>0</v>
      </c>
      <c r="V42" s="120">
        <f>'As-Filed Schedule 2I'!N42</f>
        <v>0</v>
      </c>
      <c r="W42" s="313">
        <f>SUMIFS(Adjustments!$G:$G,Adjustments!$H:$H,"2I",Adjustments!$I:$I,'Schedule 2I Adjustments'!$V$12,Adjustments!$J:$J,'Schedule 2I Adjustments'!$A42)</f>
        <v>0</v>
      </c>
      <c r="X42" s="309">
        <f t="shared" si="6"/>
        <v>0</v>
      </c>
      <c r="Y42" s="120">
        <f>'As-Filed Schedule 2I'!O42</f>
        <v>0</v>
      </c>
      <c r="Z42" s="313">
        <f>SUMIFS(Adjustments!$G:$G,Adjustments!$H:$H,"2I",Adjustments!$I:$I,'Schedule 2I Adjustments'!$Y$12,Adjustments!$J:$J,'Schedule 2I Adjustments'!$A42)</f>
        <v>0</v>
      </c>
      <c r="AA42" s="309">
        <f t="shared" si="7"/>
        <v>0</v>
      </c>
    </row>
    <row r="43" spans="1:27" x14ac:dyDescent="0.35">
      <c r="A43" s="24">
        <v>29</v>
      </c>
      <c r="B43" s="507" t="str">
        <f>IF('As-Filed Schedule 2I'!B43:D43=0,"",'As-Filed Schedule 2I'!B43:D43)</f>
        <v/>
      </c>
      <c r="C43" s="507"/>
      <c r="D43" s="507"/>
      <c r="F43" s="117">
        <f>'As-Filed Schedule 2I'!F43</f>
        <v>0</v>
      </c>
      <c r="G43" s="313">
        <f>SUMIFS(Adjustments!$G:$G,Adjustments!$H:$H,"2I",Adjustments!$I:$I,'Schedule 2I Adjustments'!$F$12,Adjustments!$J:$J,'Schedule 2I Adjustments'!$A43)</f>
        <v>0</v>
      </c>
      <c r="H43" s="309">
        <f t="shared" si="0"/>
        <v>0</v>
      </c>
      <c r="I43" s="68">
        <f>IFERROR(F43*'As-Filed Schedule 1'!$E$103,0)</f>
        <v>0</v>
      </c>
      <c r="J43" s="310">
        <f>IFERROR(H43*'Adjusted Schedule 1'!$E$104,0)</f>
        <v>0</v>
      </c>
      <c r="K43" s="68">
        <f t="shared" si="1"/>
        <v>0</v>
      </c>
      <c r="L43" s="310">
        <f t="shared" si="2"/>
        <v>0</v>
      </c>
      <c r="N43" s="117">
        <f>'As-Filed Schedule 2I'!J43</f>
        <v>0</v>
      </c>
      <c r="O43" s="313">
        <f>SUMIFS(Adjustments!$G:$G,Adjustments!$H:$H,"2I",Adjustments!$I:$I,'Schedule 2I Adjustments'!$N$12,Adjustments!$J:$J,'Schedule 2I Adjustments'!$A43)</f>
        <v>0</v>
      </c>
      <c r="P43" s="309">
        <f t="shared" si="3"/>
        <v>0</v>
      </c>
      <c r="Q43" s="68">
        <f>IFERROR(N43*'As-Filed Schedule 1'!$E$103,0)</f>
        <v>0</v>
      </c>
      <c r="R43" s="68">
        <f>IFERROR(P43*'Adjusted Schedule 1'!$E$104,0)</f>
        <v>0</v>
      </c>
      <c r="S43" s="68">
        <f t="shared" si="4"/>
        <v>0</v>
      </c>
      <c r="T43" s="310">
        <f t="shared" si="5"/>
        <v>0</v>
      </c>
      <c r="V43" s="120">
        <f>'As-Filed Schedule 2I'!N43</f>
        <v>0</v>
      </c>
      <c r="W43" s="313">
        <f>SUMIFS(Adjustments!$G:$G,Adjustments!$H:$H,"2I",Adjustments!$I:$I,'Schedule 2I Adjustments'!$V$12,Adjustments!$J:$J,'Schedule 2I Adjustments'!$A43)</f>
        <v>0</v>
      </c>
      <c r="X43" s="309">
        <f t="shared" si="6"/>
        <v>0</v>
      </c>
      <c r="Y43" s="120">
        <f>'As-Filed Schedule 2I'!O43</f>
        <v>0</v>
      </c>
      <c r="Z43" s="313">
        <f>SUMIFS(Adjustments!$G:$G,Adjustments!$H:$H,"2I",Adjustments!$I:$I,'Schedule 2I Adjustments'!$Y$12,Adjustments!$J:$J,'Schedule 2I Adjustments'!$A43)</f>
        <v>0</v>
      </c>
      <c r="AA43" s="309">
        <f t="shared" si="7"/>
        <v>0</v>
      </c>
    </row>
    <row r="44" spans="1:27" x14ac:dyDescent="0.35">
      <c r="A44" s="24">
        <v>30</v>
      </c>
      <c r="B44" s="507" t="str">
        <f>IF('As-Filed Schedule 2I'!B44:D44=0,"",'As-Filed Schedule 2I'!B44:D44)</f>
        <v/>
      </c>
      <c r="C44" s="507"/>
      <c r="D44" s="507"/>
      <c r="F44" s="117">
        <f>'As-Filed Schedule 2I'!F44</f>
        <v>0</v>
      </c>
      <c r="G44" s="313">
        <f>SUMIFS(Adjustments!$G:$G,Adjustments!$H:$H,"2I",Adjustments!$I:$I,'Schedule 2I Adjustments'!$F$12,Adjustments!$J:$J,'Schedule 2I Adjustments'!$A44)</f>
        <v>0</v>
      </c>
      <c r="H44" s="309">
        <f t="shared" si="0"/>
        <v>0</v>
      </c>
      <c r="I44" s="68">
        <f>IFERROR(F44*'As-Filed Schedule 1'!$E$103,0)</f>
        <v>0</v>
      </c>
      <c r="J44" s="310">
        <f>IFERROR(H44*'Adjusted Schedule 1'!$E$104,0)</f>
        <v>0</v>
      </c>
      <c r="K44" s="68">
        <f t="shared" si="1"/>
        <v>0</v>
      </c>
      <c r="L44" s="310">
        <f t="shared" si="2"/>
        <v>0</v>
      </c>
      <c r="N44" s="117">
        <f>'As-Filed Schedule 2I'!J44</f>
        <v>0</v>
      </c>
      <c r="O44" s="313">
        <f>SUMIFS(Adjustments!$G:$G,Adjustments!$H:$H,"2I",Adjustments!$I:$I,'Schedule 2I Adjustments'!$N$12,Adjustments!$J:$J,'Schedule 2I Adjustments'!$A44)</f>
        <v>0</v>
      </c>
      <c r="P44" s="309">
        <f t="shared" si="3"/>
        <v>0</v>
      </c>
      <c r="Q44" s="68">
        <f>IFERROR(N44*'As-Filed Schedule 1'!$E$103,0)</f>
        <v>0</v>
      </c>
      <c r="R44" s="68">
        <f>IFERROR(P44*'Adjusted Schedule 1'!$E$104,0)</f>
        <v>0</v>
      </c>
      <c r="S44" s="68">
        <f t="shared" si="4"/>
        <v>0</v>
      </c>
      <c r="T44" s="310">
        <f t="shared" si="5"/>
        <v>0</v>
      </c>
      <c r="V44" s="120">
        <f>'As-Filed Schedule 2I'!N44</f>
        <v>0</v>
      </c>
      <c r="W44" s="313">
        <f>SUMIFS(Adjustments!$G:$G,Adjustments!$H:$H,"2I",Adjustments!$I:$I,'Schedule 2I Adjustments'!$V$12,Adjustments!$J:$J,'Schedule 2I Adjustments'!$A44)</f>
        <v>0</v>
      </c>
      <c r="X44" s="309">
        <f t="shared" si="6"/>
        <v>0</v>
      </c>
      <c r="Y44" s="120">
        <f>'As-Filed Schedule 2I'!O44</f>
        <v>0</v>
      </c>
      <c r="Z44" s="313">
        <f>SUMIFS(Adjustments!$G:$G,Adjustments!$H:$H,"2I",Adjustments!$I:$I,'Schedule 2I Adjustments'!$Y$12,Adjustments!$J:$J,'Schedule 2I Adjustments'!$A44)</f>
        <v>0</v>
      </c>
      <c r="AA44" s="309">
        <f t="shared" si="7"/>
        <v>0</v>
      </c>
    </row>
    <row r="45" spans="1:27" x14ac:dyDescent="0.35">
      <c r="A45" s="24">
        <v>31</v>
      </c>
      <c r="B45" s="507" t="str">
        <f>IF('As-Filed Schedule 2I'!B45:D45=0,"",'As-Filed Schedule 2I'!B45:D45)</f>
        <v/>
      </c>
      <c r="C45" s="507"/>
      <c r="D45" s="507"/>
      <c r="F45" s="117">
        <f>'As-Filed Schedule 2I'!F45</f>
        <v>0</v>
      </c>
      <c r="G45" s="313">
        <f>SUMIFS(Adjustments!$G:$G,Adjustments!$H:$H,"2I",Adjustments!$I:$I,'Schedule 2I Adjustments'!$F$12,Adjustments!$J:$J,'Schedule 2I Adjustments'!$A45)</f>
        <v>0</v>
      </c>
      <c r="H45" s="309">
        <f t="shared" si="0"/>
        <v>0</v>
      </c>
      <c r="I45" s="68">
        <f>IFERROR(F45*'As-Filed Schedule 1'!$E$103,0)</f>
        <v>0</v>
      </c>
      <c r="J45" s="310">
        <f>IFERROR(H45*'Adjusted Schedule 1'!$E$104,0)</f>
        <v>0</v>
      </c>
      <c r="K45" s="68">
        <f t="shared" si="1"/>
        <v>0</v>
      </c>
      <c r="L45" s="310">
        <f t="shared" si="2"/>
        <v>0</v>
      </c>
      <c r="N45" s="117">
        <f>'As-Filed Schedule 2I'!J45</f>
        <v>0</v>
      </c>
      <c r="O45" s="313">
        <f>SUMIFS(Adjustments!$G:$G,Adjustments!$H:$H,"2I",Adjustments!$I:$I,'Schedule 2I Adjustments'!$N$12,Adjustments!$J:$J,'Schedule 2I Adjustments'!$A45)</f>
        <v>0</v>
      </c>
      <c r="P45" s="309">
        <f t="shared" si="3"/>
        <v>0</v>
      </c>
      <c r="Q45" s="68">
        <f>IFERROR(N45*'As-Filed Schedule 1'!$E$103,0)</f>
        <v>0</v>
      </c>
      <c r="R45" s="68">
        <f>IFERROR(P45*'Adjusted Schedule 1'!$E$104,0)</f>
        <v>0</v>
      </c>
      <c r="S45" s="68">
        <f t="shared" si="4"/>
        <v>0</v>
      </c>
      <c r="T45" s="310">
        <f t="shared" si="5"/>
        <v>0</v>
      </c>
      <c r="V45" s="120">
        <f>'As-Filed Schedule 2I'!N45</f>
        <v>0</v>
      </c>
      <c r="W45" s="313">
        <f>SUMIFS(Adjustments!$G:$G,Adjustments!$H:$H,"2I",Adjustments!$I:$I,'Schedule 2I Adjustments'!$V$12,Adjustments!$J:$J,'Schedule 2I Adjustments'!$A45)</f>
        <v>0</v>
      </c>
      <c r="X45" s="309">
        <f t="shared" si="6"/>
        <v>0</v>
      </c>
      <c r="Y45" s="120">
        <f>'As-Filed Schedule 2I'!O45</f>
        <v>0</v>
      </c>
      <c r="Z45" s="313">
        <f>SUMIFS(Adjustments!$G:$G,Adjustments!$H:$H,"2I",Adjustments!$I:$I,'Schedule 2I Adjustments'!$Y$12,Adjustments!$J:$J,'Schedule 2I Adjustments'!$A45)</f>
        <v>0</v>
      </c>
      <c r="AA45" s="309">
        <f t="shared" si="7"/>
        <v>0</v>
      </c>
    </row>
    <row r="46" spans="1:27" x14ac:dyDescent="0.35">
      <c r="A46" s="24">
        <v>32</v>
      </c>
      <c r="B46" s="507" t="str">
        <f>IF('As-Filed Schedule 2I'!B46:D46=0,"",'As-Filed Schedule 2I'!B46:D46)</f>
        <v/>
      </c>
      <c r="C46" s="507"/>
      <c r="D46" s="507"/>
      <c r="F46" s="117">
        <f>'As-Filed Schedule 2I'!F46</f>
        <v>0</v>
      </c>
      <c r="G46" s="313">
        <f>SUMIFS(Adjustments!$G:$G,Adjustments!$H:$H,"2I",Adjustments!$I:$I,'Schedule 2I Adjustments'!$F$12,Adjustments!$J:$J,'Schedule 2I Adjustments'!$A46)</f>
        <v>0</v>
      </c>
      <c r="H46" s="309">
        <f t="shared" si="0"/>
        <v>0</v>
      </c>
      <c r="I46" s="68">
        <f>IFERROR(F46*'As-Filed Schedule 1'!$E$103,0)</f>
        <v>0</v>
      </c>
      <c r="J46" s="310">
        <f>IFERROR(H46*'Adjusted Schedule 1'!$E$104,0)</f>
        <v>0</v>
      </c>
      <c r="K46" s="68">
        <f t="shared" si="1"/>
        <v>0</v>
      </c>
      <c r="L46" s="310">
        <f t="shared" si="2"/>
        <v>0</v>
      </c>
      <c r="N46" s="117">
        <f>'As-Filed Schedule 2I'!J46</f>
        <v>0</v>
      </c>
      <c r="O46" s="313">
        <f>SUMIFS(Adjustments!$G:$G,Adjustments!$H:$H,"2I",Adjustments!$I:$I,'Schedule 2I Adjustments'!$N$12,Adjustments!$J:$J,'Schedule 2I Adjustments'!$A46)</f>
        <v>0</v>
      </c>
      <c r="P46" s="309">
        <f t="shared" si="3"/>
        <v>0</v>
      </c>
      <c r="Q46" s="68">
        <f>IFERROR(N46*'As-Filed Schedule 1'!$E$103,0)</f>
        <v>0</v>
      </c>
      <c r="R46" s="68">
        <f>IFERROR(P46*'Adjusted Schedule 1'!$E$104,0)</f>
        <v>0</v>
      </c>
      <c r="S46" s="68">
        <f t="shared" si="4"/>
        <v>0</v>
      </c>
      <c r="T46" s="310">
        <f t="shared" si="5"/>
        <v>0</v>
      </c>
      <c r="V46" s="120">
        <f>'As-Filed Schedule 2I'!N46</f>
        <v>0</v>
      </c>
      <c r="W46" s="313">
        <f>SUMIFS(Adjustments!$G:$G,Adjustments!$H:$H,"2I",Adjustments!$I:$I,'Schedule 2I Adjustments'!$V$12,Adjustments!$J:$J,'Schedule 2I Adjustments'!$A46)</f>
        <v>0</v>
      </c>
      <c r="X46" s="309">
        <f t="shared" si="6"/>
        <v>0</v>
      </c>
      <c r="Y46" s="120">
        <f>'As-Filed Schedule 2I'!O46</f>
        <v>0</v>
      </c>
      <c r="Z46" s="313">
        <f>SUMIFS(Adjustments!$G:$G,Adjustments!$H:$H,"2I",Adjustments!$I:$I,'Schedule 2I Adjustments'!$Y$12,Adjustments!$J:$J,'Schedule 2I Adjustments'!$A46)</f>
        <v>0</v>
      </c>
      <c r="AA46" s="309">
        <f t="shared" si="7"/>
        <v>0</v>
      </c>
    </row>
    <row r="47" spans="1:27" x14ac:dyDescent="0.35">
      <c r="A47" s="24">
        <v>33</v>
      </c>
      <c r="B47" s="507" t="str">
        <f>IF('As-Filed Schedule 2I'!B47:D47=0,"",'As-Filed Schedule 2I'!B47:D47)</f>
        <v/>
      </c>
      <c r="C47" s="507"/>
      <c r="D47" s="507"/>
      <c r="F47" s="117">
        <f>'As-Filed Schedule 2I'!F47</f>
        <v>0</v>
      </c>
      <c r="G47" s="313">
        <f>SUMIFS(Adjustments!$G:$G,Adjustments!$H:$H,"2I",Adjustments!$I:$I,'Schedule 2I Adjustments'!$F$12,Adjustments!$J:$J,'Schedule 2I Adjustments'!$A47)</f>
        <v>0</v>
      </c>
      <c r="H47" s="309">
        <f t="shared" si="0"/>
        <v>0</v>
      </c>
      <c r="I47" s="68">
        <f>IFERROR(F47*'As-Filed Schedule 1'!$E$103,0)</f>
        <v>0</v>
      </c>
      <c r="J47" s="310">
        <f>IFERROR(H47*'Adjusted Schedule 1'!$E$104,0)</f>
        <v>0</v>
      </c>
      <c r="K47" s="68">
        <f t="shared" si="1"/>
        <v>0</v>
      </c>
      <c r="L47" s="310">
        <f t="shared" si="2"/>
        <v>0</v>
      </c>
      <c r="N47" s="117">
        <f>'As-Filed Schedule 2I'!J47</f>
        <v>0</v>
      </c>
      <c r="O47" s="313">
        <f>SUMIFS(Adjustments!$G:$G,Adjustments!$H:$H,"2I",Adjustments!$I:$I,'Schedule 2I Adjustments'!$N$12,Adjustments!$J:$J,'Schedule 2I Adjustments'!$A47)</f>
        <v>0</v>
      </c>
      <c r="P47" s="309">
        <f t="shared" si="3"/>
        <v>0</v>
      </c>
      <c r="Q47" s="68">
        <f>IFERROR(N47*'As-Filed Schedule 1'!$E$103,0)</f>
        <v>0</v>
      </c>
      <c r="R47" s="68">
        <f>IFERROR(P47*'Adjusted Schedule 1'!$E$104,0)</f>
        <v>0</v>
      </c>
      <c r="S47" s="68">
        <f t="shared" si="4"/>
        <v>0</v>
      </c>
      <c r="T47" s="310">
        <f t="shared" si="5"/>
        <v>0</v>
      </c>
      <c r="V47" s="120">
        <f>'As-Filed Schedule 2I'!N47</f>
        <v>0</v>
      </c>
      <c r="W47" s="313">
        <f>SUMIFS(Adjustments!$G:$G,Adjustments!$H:$H,"2I",Adjustments!$I:$I,'Schedule 2I Adjustments'!$V$12,Adjustments!$J:$J,'Schedule 2I Adjustments'!$A47)</f>
        <v>0</v>
      </c>
      <c r="X47" s="309">
        <f t="shared" si="6"/>
        <v>0</v>
      </c>
      <c r="Y47" s="120">
        <f>'As-Filed Schedule 2I'!O47</f>
        <v>0</v>
      </c>
      <c r="Z47" s="313">
        <f>SUMIFS(Adjustments!$G:$G,Adjustments!$H:$H,"2I",Adjustments!$I:$I,'Schedule 2I Adjustments'!$Y$12,Adjustments!$J:$J,'Schedule 2I Adjustments'!$A47)</f>
        <v>0</v>
      </c>
      <c r="AA47" s="309">
        <f t="shared" si="7"/>
        <v>0</v>
      </c>
    </row>
    <row r="48" spans="1:27" x14ac:dyDescent="0.35">
      <c r="A48" s="24">
        <v>34</v>
      </c>
      <c r="B48" s="507" t="str">
        <f>IF('As-Filed Schedule 2I'!B48:D48=0,"",'As-Filed Schedule 2I'!B48:D48)</f>
        <v/>
      </c>
      <c r="C48" s="507"/>
      <c r="D48" s="507"/>
      <c r="F48" s="117">
        <f>'As-Filed Schedule 2I'!F48</f>
        <v>0</v>
      </c>
      <c r="G48" s="313">
        <f>SUMIFS(Adjustments!$G:$G,Adjustments!$H:$H,"2I",Adjustments!$I:$I,'Schedule 2I Adjustments'!$F$12,Adjustments!$J:$J,'Schedule 2I Adjustments'!$A48)</f>
        <v>0</v>
      </c>
      <c r="H48" s="309">
        <f t="shared" si="0"/>
        <v>0</v>
      </c>
      <c r="I48" s="68">
        <f>IFERROR(F48*'As-Filed Schedule 1'!$E$103,0)</f>
        <v>0</v>
      </c>
      <c r="J48" s="310">
        <f>IFERROR(H48*'Adjusted Schedule 1'!$E$104,0)</f>
        <v>0</v>
      </c>
      <c r="K48" s="68">
        <f t="shared" si="1"/>
        <v>0</v>
      </c>
      <c r="L48" s="310">
        <f t="shared" si="2"/>
        <v>0</v>
      </c>
      <c r="N48" s="117">
        <f>'As-Filed Schedule 2I'!J48</f>
        <v>0</v>
      </c>
      <c r="O48" s="313">
        <f>SUMIFS(Adjustments!$G:$G,Adjustments!$H:$H,"2I",Adjustments!$I:$I,'Schedule 2I Adjustments'!$N$12,Adjustments!$J:$J,'Schedule 2I Adjustments'!$A48)</f>
        <v>0</v>
      </c>
      <c r="P48" s="309">
        <f t="shared" si="3"/>
        <v>0</v>
      </c>
      <c r="Q48" s="68">
        <f>IFERROR(N48*'As-Filed Schedule 1'!$E$103,0)</f>
        <v>0</v>
      </c>
      <c r="R48" s="68">
        <f>IFERROR(P48*'Adjusted Schedule 1'!$E$104,0)</f>
        <v>0</v>
      </c>
      <c r="S48" s="68">
        <f t="shared" si="4"/>
        <v>0</v>
      </c>
      <c r="T48" s="310">
        <f t="shared" si="5"/>
        <v>0</v>
      </c>
      <c r="V48" s="120">
        <f>'As-Filed Schedule 2I'!N48</f>
        <v>0</v>
      </c>
      <c r="W48" s="313">
        <f>SUMIFS(Adjustments!$G:$G,Adjustments!$H:$H,"2I",Adjustments!$I:$I,'Schedule 2I Adjustments'!$V$12,Adjustments!$J:$J,'Schedule 2I Adjustments'!$A48)</f>
        <v>0</v>
      </c>
      <c r="X48" s="309">
        <f t="shared" si="6"/>
        <v>0</v>
      </c>
      <c r="Y48" s="120">
        <f>'As-Filed Schedule 2I'!O48</f>
        <v>0</v>
      </c>
      <c r="Z48" s="313">
        <f>SUMIFS(Adjustments!$G:$G,Adjustments!$H:$H,"2I",Adjustments!$I:$I,'Schedule 2I Adjustments'!$Y$12,Adjustments!$J:$J,'Schedule 2I Adjustments'!$A48)</f>
        <v>0</v>
      </c>
      <c r="AA48" s="309">
        <f t="shared" si="7"/>
        <v>0</v>
      </c>
    </row>
    <row r="49" spans="1:27" x14ac:dyDescent="0.35">
      <c r="A49" s="24">
        <v>35</v>
      </c>
      <c r="B49" s="507" t="str">
        <f>IF('As-Filed Schedule 2I'!B49:D49=0,"",'As-Filed Schedule 2I'!B49:D49)</f>
        <v/>
      </c>
      <c r="C49" s="507"/>
      <c r="D49" s="507"/>
      <c r="F49" s="117">
        <f>'As-Filed Schedule 2I'!F49</f>
        <v>0</v>
      </c>
      <c r="G49" s="313">
        <f>SUMIFS(Adjustments!$G:$G,Adjustments!$H:$H,"2I",Adjustments!$I:$I,'Schedule 2I Adjustments'!$F$12,Adjustments!$J:$J,'Schedule 2I Adjustments'!$A49)</f>
        <v>0</v>
      </c>
      <c r="H49" s="309">
        <f t="shared" si="0"/>
        <v>0</v>
      </c>
      <c r="I49" s="68">
        <f>IFERROR(F49*'As-Filed Schedule 1'!$E$103,0)</f>
        <v>0</v>
      </c>
      <c r="J49" s="310">
        <f>IFERROR(H49*'Adjusted Schedule 1'!$E$104,0)</f>
        <v>0</v>
      </c>
      <c r="K49" s="68">
        <f t="shared" si="1"/>
        <v>0</v>
      </c>
      <c r="L49" s="310">
        <f t="shared" si="2"/>
        <v>0</v>
      </c>
      <c r="N49" s="117">
        <f>'As-Filed Schedule 2I'!J49</f>
        <v>0</v>
      </c>
      <c r="O49" s="313">
        <f>SUMIFS(Adjustments!$G:$G,Adjustments!$H:$H,"2I",Adjustments!$I:$I,'Schedule 2I Adjustments'!$N$12,Adjustments!$J:$J,'Schedule 2I Adjustments'!$A49)</f>
        <v>0</v>
      </c>
      <c r="P49" s="309">
        <f t="shared" si="3"/>
        <v>0</v>
      </c>
      <c r="Q49" s="68">
        <f>IFERROR(N49*'As-Filed Schedule 1'!$E$103,0)</f>
        <v>0</v>
      </c>
      <c r="R49" s="68">
        <f>IFERROR(P49*'Adjusted Schedule 1'!$E$104,0)</f>
        <v>0</v>
      </c>
      <c r="S49" s="68">
        <f t="shared" si="4"/>
        <v>0</v>
      </c>
      <c r="T49" s="310">
        <f t="shared" si="5"/>
        <v>0</v>
      </c>
      <c r="V49" s="120">
        <f>'As-Filed Schedule 2I'!N49</f>
        <v>0</v>
      </c>
      <c r="W49" s="313">
        <f>SUMIFS(Adjustments!$G:$G,Adjustments!$H:$H,"2I",Adjustments!$I:$I,'Schedule 2I Adjustments'!$V$12,Adjustments!$J:$J,'Schedule 2I Adjustments'!$A49)</f>
        <v>0</v>
      </c>
      <c r="X49" s="309">
        <f t="shared" si="6"/>
        <v>0</v>
      </c>
      <c r="Y49" s="120">
        <f>'As-Filed Schedule 2I'!O49</f>
        <v>0</v>
      </c>
      <c r="Z49" s="313">
        <f>SUMIFS(Adjustments!$G:$G,Adjustments!$H:$H,"2I",Adjustments!$I:$I,'Schedule 2I Adjustments'!$Y$12,Adjustments!$J:$J,'Schedule 2I Adjustments'!$A49)</f>
        <v>0</v>
      </c>
      <c r="AA49" s="309">
        <f t="shared" si="7"/>
        <v>0</v>
      </c>
    </row>
    <row r="50" spans="1:27" x14ac:dyDescent="0.35">
      <c r="A50" s="24">
        <v>36</v>
      </c>
      <c r="B50" s="507" t="str">
        <f>IF('As-Filed Schedule 2I'!B50:D50=0,"",'As-Filed Schedule 2I'!B50:D50)</f>
        <v/>
      </c>
      <c r="C50" s="507"/>
      <c r="D50" s="507"/>
      <c r="F50" s="117">
        <f>'As-Filed Schedule 2I'!F50</f>
        <v>0</v>
      </c>
      <c r="G50" s="313">
        <f>SUMIFS(Adjustments!$G:$G,Adjustments!$H:$H,"2I",Adjustments!$I:$I,'Schedule 2I Adjustments'!$F$12,Adjustments!$J:$J,'Schedule 2I Adjustments'!$A50)</f>
        <v>0</v>
      </c>
      <c r="H50" s="309">
        <f t="shared" si="0"/>
        <v>0</v>
      </c>
      <c r="I50" s="68">
        <f>IFERROR(F50*'As-Filed Schedule 1'!$E$103,0)</f>
        <v>0</v>
      </c>
      <c r="J50" s="310">
        <f>IFERROR(H50*'Adjusted Schedule 1'!$E$104,0)</f>
        <v>0</v>
      </c>
      <c r="K50" s="68">
        <f t="shared" si="1"/>
        <v>0</v>
      </c>
      <c r="L50" s="310">
        <f t="shared" si="2"/>
        <v>0</v>
      </c>
      <c r="N50" s="117">
        <f>'As-Filed Schedule 2I'!J50</f>
        <v>0</v>
      </c>
      <c r="O50" s="313">
        <f>SUMIFS(Adjustments!$G:$G,Adjustments!$H:$H,"2I",Adjustments!$I:$I,'Schedule 2I Adjustments'!$N$12,Adjustments!$J:$J,'Schedule 2I Adjustments'!$A50)</f>
        <v>0</v>
      </c>
      <c r="P50" s="309">
        <f t="shared" si="3"/>
        <v>0</v>
      </c>
      <c r="Q50" s="68">
        <f>IFERROR(N50*'As-Filed Schedule 1'!$E$103,0)</f>
        <v>0</v>
      </c>
      <c r="R50" s="68">
        <f>IFERROR(P50*'Adjusted Schedule 1'!$E$104,0)</f>
        <v>0</v>
      </c>
      <c r="S50" s="68">
        <f t="shared" si="4"/>
        <v>0</v>
      </c>
      <c r="T50" s="310">
        <f t="shared" si="5"/>
        <v>0</v>
      </c>
      <c r="V50" s="120">
        <f>'As-Filed Schedule 2I'!N50</f>
        <v>0</v>
      </c>
      <c r="W50" s="313">
        <f>SUMIFS(Adjustments!$G:$G,Adjustments!$H:$H,"2I",Adjustments!$I:$I,'Schedule 2I Adjustments'!$V$12,Adjustments!$J:$J,'Schedule 2I Adjustments'!$A50)</f>
        <v>0</v>
      </c>
      <c r="X50" s="309">
        <f t="shared" si="6"/>
        <v>0</v>
      </c>
      <c r="Y50" s="120">
        <f>'As-Filed Schedule 2I'!O50</f>
        <v>0</v>
      </c>
      <c r="Z50" s="313">
        <f>SUMIFS(Adjustments!$G:$G,Adjustments!$H:$H,"2I",Adjustments!$I:$I,'Schedule 2I Adjustments'!$Y$12,Adjustments!$J:$J,'Schedule 2I Adjustments'!$A50)</f>
        <v>0</v>
      </c>
      <c r="AA50" s="309">
        <f t="shared" si="7"/>
        <v>0</v>
      </c>
    </row>
    <row r="51" spans="1:27" x14ac:dyDescent="0.35">
      <c r="A51" s="24">
        <v>37</v>
      </c>
      <c r="B51" s="507" t="str">
        <f>IF('As-Filed Schedule 2I'!B51:D51=0,"",'As-Filed Schedule 2I'!B51:D51)</f>
        <v/>
      </c>
      <c r="C51" s="507"/>
      <c r="D51" s="507"/>
      <c r="F51" s="117">
        <f>'As-Filed Schedule 2I'!F51</f>
        <v>0</v>
      </c>
      <c r="G51" s="313">
        <f>SUMIFS(Adjustments!$G:$G,Adjustments!$H:$H,"2I",Adjustments!$I:$I,'Schedule 2I Adjustments'!$F$12,Adjustments!$J:$J,'Schedule 2I Adjustments'!$A51)</f>
        <v>0</v>
      </c>
      <c r="H51" s="309">
        <f t="shared" si="0"/>
        <v>0</v>
      </c>
      <c r="I51" s="68">
        <f>IFERROR(F51*'As-Filed Schedule 1'!$E$103,0)</f>
        <v>0</v>
      </c>
      <c r="J51" s="310">
        <f>IFERROR(H51*'Adjusted Schedule 1'!$E$104,0)</f>
        <v>0</v>
      </c>
      <c r="K51" s="68">
        <f t="shared" si="1"/>
        <v>0</v>
      </c>
      <c r="L51" s="310">
        <f t="shared" si="2"/>
        <v>0</v>
      </c>
      <c r="N51" s="117">
        <f>'As-Filed Schedule 2I'!J51</f>
        <v>0</v>
      </c>
      <c r="O51" s="313">
        <f>SUMIFS(Adjustments!$G:$G,Adjustments!$H:$H,"2I",Adjustments!$I:$I,'Schedule 2I Adjustments'!$N$12,Adjustments!$J:$J,'Schedule 2I Adjustments'!$A51)</f>
        <v>0</v>
      </c>
      <c r="P51" s="309">
        <f t="shared" si="3"/>
        <v>0</v>
      </c>
      <c r="Q51" s="68">
        <f>IFERROR(N51*'As-Filed Schedule 1'!$E$103,0)</f>
        <v>0</v>
      </c>
      <c r="R51" s="68">
        <f>IFERROR(P51*'Adjusted Schedule 1'!$E$104,0)</f>
        <v>0</v>
      </c>
      <c r="S51" s="68">
        <f t="shared" si="4"/>
        <v>0</v>
      </c>
      <c r="T51" s="310">
        <f t="shared" si="5"/>
        <v>0</v>
      </c>
      <c r="V51" s="120">
        <f>'As-Filed Schedule 2I'!N51</f>
        <v>0</v>
      </c>
      <c r="W51" s="313">
        <f>SUMIFS(Adjustments!$G:$G,Adjustments!$H:$H,"2I",Adjustments!$I:$I,'Schedule 2I Adjustments'!$V$12,Adjustments!$J:$J,'Schedule 2I Adjustments'!$A51)</f>
        <v>0</v>
      </c>
      <c r="X51" s="309">
        <f t="shared" si="6"/>
        <v>0</v>
      </c>
      <c r="Y51" s="120">
        <f>'As-Filed Schedule 2I'!O51</f>
        <v>0</v>
      </c>
      <c r="Z51" s="313">
        <f>SUMIFS(Adjustments!$G:$G,Adjustments!$H:$H,"2I",Adjustments!$I:$I,'Schedule 2I Adjustments'!$Y$12,Adjustments!$J:$J,'Schedule 2I Adjustments'!$A51)</f>
        <v>0</v>
      </c>
      <c r="AA51" s="309">
        <f t="shared" si="7"/>
        <v>0</v>
      </c>
    </row>
    <row r="52" spans="1:27" x14ac:dyDescent="0.35">
      <c r="A52" s="24">
        <v>38</v>
      </c>
      <c r="B52" s="507" t="str">
        <f>IF('As-Filed Schedule 2I'!B52:D52=0,"",'As-Filed Schedule 2I'!B52:D52)</f>
        <v/>
      </c>
      <c r="C52" s="507"/>
      <c r="D52" s="507"/>
      <c r="F52" s="117">
        <f>'As-Filed Schedule 2I'!F52</f>
        <v>0</v>
      </c>
      <c r="G52" s="313">
        <f>SUMIFS(Adjustments!$G:$G,Adjustments!$H:$H,"2I",Adjustments!$I:$I,'Schedule 2I Adjustments'!$F$12,Adjustments!$J:$J,'Schedule 2I Adjustments'!$A52)</f>
        <v>0</v>
      </c>
      <c r="H52" s="309">
        <f t="shared" si="0"/>
        <v>0</v>
      </c>
      <c r="I52" s="68">
        <f>IFERROR(F52*'As-Filed Schedule 1'!$E$103,0)</f>
        <v>0</v>
      </c>
      <c r="J52" s="310">
        <f>IFERROR(H52*'Adjusted Schedule 1'!$E$104,0)</f>
        <v>0</v>
      </c>
      <c r="K52" s="68">
        <f t="shared" si="1"/>
        <v>0</v>
      </c>
      <c r="L52" s="310">
        <f t="shared" si="2"/>
        <v>0</v>
      </c>
      <c r="N52" s="117">
        <f>'As-Filed Schedule 2I'!J52</f>
        <v>0</v>
      </c>
      <c r="O52" s="313">
        <f>SUMIFS(Adjustments!$G:$G,Adjustments!$H:$H,"2I",Adjustments!$I:$I,'Schedule 2I Adjustments'!$N$12,Adjustments!$J:$J,'Schedule 2I Adjustments'!$A52)</f>
        <v>0</v>
      </c>
      <c r="P52" s="309">
        <f t="shared" si="3"/>
        <v>0</v>
      </c>
      <c r="Q52" s="68">
        <f>IFERROR(N52*'As-Filed Schedule 1'!$E$103,0)</f>
        <v>0</v>
      </c>
      <c r="R52" s="68">
        <f>IFERROR(P52*'Adjusted Schedule 1'!$E$104,0)</f>
        <v>0</v>
      </c>
      <c r="S52" s="68">
        <f t="shared" si="4"/>
        <v>0</v>
      </c>
      <c r="T52" s="310">
        <f t="shared" si="5"/>
        <v>0</v>
      </c>
      <c r="V52" s="120">
        <f>'As-Filed Schedule 2I'!N52</f>
        <v>0</v>
      </c>
      <c r="W52" s="313">
        <f>SUMIFS(Adjustments!$G:$G,Adjustments!$H:$H,"2I",Adjustments!$I:$I,'Schedule 2I Adjustments'!$V$12,Adjustments!$J:$J,'Schedule 2I Adjustments'!$A52)</f>
        <v>0</v>
      </c>
      <c r="X52" s="309">
        <f t="shared" si="6"/>
        <v>0</v>
      </c>
      <c r="Y52" s="120">
        <f>'As-Filed Schedule 2I'!O52</f>
        <v>0</v>
      </c>
      <c r="Z52" s="313">
        <f>SUMIFS(Adjustments!$G:$G,Adjustments!$H:$H,"2I",Adjustments!$I:$I,'Schedule 2I Adjustments'!$Y$12,Adjustments!$J:$J,'Schedule 2I Adjustments'!$A52)</f>
        <v>0</v>
      </c>
      <c r="AA52" s="309">
        <f t="shared" si="7"/>
        <v>0</v>
      </c>
    </row>
    <row r="53" spans="1:27" x14ac:dyDescent="0.35">
      <c r="A53" s="24">
        <v>39</v>
      </c>
      <c r="B53" s="507" t="str">
        <f>IF('As-Filed Schedule 2I'!B53:D53=0,"",'As-Filed Schedule 2I'!B53:D53)</f>
        <v/>
      </c>
      <c r="C53" s="507"/>
      <c r="D53" s="507"/>
      <c r="F53" s="117">
        <f>'As-Filed Schedule 2I'!F53</f>
        <v>0</v>
      </c>
      <c r="G53" s="313">
        <f>SUMIFS(Adjustments!$G:$G,Adjustments!$H:$H,"2I",Adjustments!$I:$I,'Schedule 2I Adjustments'!$F$12,Adjustments!$J:$J,'Schedule 2I Adjustments'!$A53)</f>
        <v>0</v>
      </c>
      <c r="H53" s="309">
        <f t="shared" si="0"/>
        <v>0</v>
      </c>
      <c r="I53" s="68">
        <f>IFERROR(F53*'As-Filed Schedule 1'!$E$103,0)</f>
        <v>0</v>
      </c>
      <c r="J53" s="310">
        <f>IFERROR(H53*'Adjusted Schedule 1'!$E$104,0)</f>
        <v>0</v>
      </c>
      <c r="K53" s="68">
        <f t="shared" si="1"/>
        <v>0</v>
      </c>
      <c r="L53" s="310">
        <f t="shared" si="2"/>
        <v>0</v>
      </c>
      <c r="N53" s="117">
        <f>'As-Filed Schedule 2I'!J53</f>
        <v>0</v>
      </c>
      <c r="O53" s="313">
        <f>SUMIFS(Adjustments!$G:$G,Adjustments!$H:$H,"2I",Adjustments!$I:$I,'Schedule 2I Adjustments'!$N$12,Adjustments!$J:$J,'Schedule 2I Adjustments'!$A53)</f>
        <v>0</v>
      </c>
      <c r="P53" s="309">
        <f t="shared" si="3"/>
        <v>0</v>
      </c>
      <c r="Q53" s="68">
        <f>IFERROR(N53*'As-Filed Schedule 1'!$E$103,0)</f>
        <v>0</v>
      </c>
      <c r="R53" s="68">
        <f>IFERROR(P53*'Adjusted Schedule 1'!$E$104,0)</f>
        <v>0</v>
      </c>
      <c r="S53" s="68">
        <f t="shared" si="4"/>
        <v>0</v>
      </c>
      <c r="T53" s="310">
        <f t="shared" si="5"/>
        <v>0</v>
      </c>
      <c r="V53" s="120">
        <f>'As-Filed Schedule 2I'!N53</f>
        <v>0</v>
      </c>
      <c r="W53" s="313">
        <f>SUMIFS(Adjustments!$G:$G,Adjustments!$H:$H,"2I",Adjustments!$I:$I,'Schedule 2I Adjustments'!$V$12,Adjustments!$J:$J,'Schedule 2I Adjustments'!$A53)</f>
        <v>0</v>
      </c>
      <c r="X53" s="309">
        <f t="shared" si="6"/>
        <v>0</v>
      </c>
      <c r="Y53" s="120">
        <f>'As-Filed Schedule 2I'!O53</f>
        <v>0</v>
      </c>
      <c r="Z53" s="313">
        <f>SUMIFS(Adjustments!$G:$G,Adjustments!$H:$H,"2I",Adjustments!$I:$I,'Schedule 2I Adjustments'!$Y$12,Adjustments!$J:$J,'Schedule 2I Adjustments'!$A53)</f>
        <v>0</v>
      </c>
      <c r="AA53" s="309">
        <f t="shared" si="7"/>
        <v>0</v>
      </c>
    </row>
    <row r="54" spans="1:27" x14ac:dyDescent="0.35">
      <c r="A54" s="24">
        <v>40</v>
      </c>
      <c r="B54" s="507" t="str">
        <f>IF('As-Filed Schedule 2I'!B54:D54=0,"",'As-Filed Schedule 2I'!B54:D54)</f>
        <v/>
      </c>
      <c r="C54" s="507"/>
      <c r="D54" s="507"/>
      <c r="F54" s="117">
        <f>'As-Filed Schedule 2I'!F54</f>
        <v>0</v>
      </c>
      <c r="G54" s="313">
        <f>SUMIFS(Adjustments!$G:$G,Adjustments!$H:$H,"2I",Adjustments!$I:$I,'Schedule 2I Adjustments'!$F$12,Adjustments!$J:$J,'Schedule 2I Adjustments'!$A54)</f>
        <v>0</v>
      </c>
      <c r="H54" s="309">
        <f t="shared" si="0"/>
        <v>0</v>
      </c>
      <c r="I54" s="68">
        <f>IFERROR(F54*'As-Filed Schedule 1'!$E$103,0)</f>
        <v>0</v>
      </c>
      <c r="J54" s="310">
        <f>IFERROR(H54*'Adjusted Schedule 1'!$E$104,0)</f>
        <v>0</v>
      </c>
      <c r="K54" s="68">
        <f t="shared" si="1"/>
        <v>0</v>
      </c>
      <c r="L54" s="310">
        <f t="shared" si="2"/>
        <v>0</v>
      </c>
      <c r="N54" s="117">
        <f>'As-Filed Schedule 2I'!J54</f>
        <v>0</v>
      </c>
      <c r="O54" s="313">
        <f>SUMIFS(Adjustments!$G:$G,Adjustments!$H:$H,"2I",Adjustments!$I:$I,'Schedule 2I Adjustments'!$N$12,Adjustments!$J:$J,'Schedule 2I Adjustments'!$A54)</f>
        <v>0</v>
      </c>
      <c r="P54" s="309">
        <f t="shared" si="3"/>
        <v>0</v>
      </c>
      <c r="Q54" s="68">
        <f>IFERROR(N54*'As-Filed Schedule 1'!$E$103,0)</f>
        <v>0</v>
      </c>
      <c r="R54" s="68">
        <f>IFERROR(P54*'Adjusted Schedule 1'!$E$104,0)</f>
        <v>0</v>
      </c>
      <c r="S54" s="68">
        <f t="shared" si="4"/>
        <v>0</v>
      </c>
      <c r="T54" s="310">
        <f t="shared" si="5"/>
        <v>0</v>
      </c>
      <c r="V54" s="120">
        <f>'As-Filed Schedule 2I'!N54</f>
        <v>0</v>
      </c>
      <c r="W54" s="313">
        <f>SUMIFS(Adjustments!$G:$G,Adjustments!$H:$H,"2I",Adjustments!$I:$I,'Schedule 2I Adjustments'!$V$12,Adjustments!$J:$J,'Schedule 2I Adjustments'!$A54)</f>
        <v>0</v>
      </c>
      <c r="X54" s="309">
        <f t="shared" si="6"/>
        <v>0</v>
      </c>
      <c r="Y54" s="120">
        <f>'As-Filed Schedule 2I'!O54</f>
        <v>0</v>
      </c>
      <c r="Z54" s="313">
        <f>SUMIFS(Adjustments!$G:$G,Adjustments!$H:$H,"2I",Adjustments!$I:$I,'Schedule 2I Adjustments'!$Y$12,Adjustments!$J:$J,'Schedule 2I Adjustments'!$A54)</f>
        <v>0</v>
      </c>
      <c r="AA54" s="309">
        <f t="shared" si="7"/>
        <v>0</v>
      </c>
    </row>
    <row r="55" spans="1:27" x14ac:dyDescent="0.35">
      <c r="A55" s="24">
        <v>41</v>
      </c>
      <c r="B55" s="507" t="str">
        <f>IF('As-Filed Schedule 2I'!B55:D55=0,"",'As-Filed Schedule 2I'!B55:D55)</f>
        <v/>
      </c>
      <c r="C55" s="507"/>
      <c r="D55" s="507"/>
      <c r="F55" s="117">
        <f>'As-Filed Schedule 2I'!F55</f>
        <v>0</v>
      </c>
      <c r="G55" s="313">
        <f>SUMIFS(Adjustments!$G:$G,Adjustments!$H:$H,"2I",Adjustments!$I:$I,'Schedule 2I Adjustments'!$F$12,Adjustments!$J:$J,'Schedule 2I Adjustments'!$A55)</f>
        <v>0</v>
      </c>
      <c r="H55" s="309">
        <f t="shared" si="0"/>
        <v>0</v>
      </c>
      <c r="I55" s="68">
        <f>IFERROR(F55*'As-Filed Schedule 1'!$E$103,0)</f>
        <v>0</v>
      </c>
      <c r="J55" s="310">
        <f>IFERROR(H55*'Adjusted Schedule 1'!$E$104,0)</f>
        <v>0</v>
      </c>
      <c r="K55" s="68">
        <f t="shared" si="1"/>
        <v>0</v>
      </c>
      <c r="L55" s="310">
        <f t="shared" si="2"/>
        <v>0</v>
      </c>
      <c r="N55" s="117">
        <f>'As-Filed Schedule 2I'!J55</f>
        <v>0</v>
      </c>
      <c r="O55" s="313">
        <f>SUMIFS(Adjustments!$G:$G,Adjustments!$H:$H,"2I",Adjustments!$I:$I,'Schedule 2I Adjustments'!$N$12,Adjustments!$J:$J,'Schedule 2I Adjustments'!$A55)</f>
        <v>0</v>
      </c>
      <c r="P55" s="309">
        <f t="shared" si="3"/>
        <v>0</v>
      </c>
      <c r="Q55" s="68">
        <f>IFERROR(N55*'As-Filed Schedule 1'!$E$103,0)</f>
        <v>0</v>
      </c>
      <c r="R55" s="68">
        <f>IFERROR(P55*'Adjusted Schedule 1'!$E$104,0)</f>
        <v>0</v>
      </c>
      <c r="S55" s="68">
        <f t="shared" si="4"/>
        <v>0</v>
      </c>
      <c r="T55" s="310">
        <f t="shared" si="5"/>
        <v>0</v>
      </c>
      <c r="V55" s="120">
        <f>'As-Filed Schedule 2I'!N55</f>
        <v>0</v>
      </c>
      <c r="W55" s="313">
        <f>SUMIFS(Adjustments!$G:$G,Adjustments!$H:$H,"2I",Adjustments!$I:$I,'Schedule 2I Adjustments'!$V$12,Adjustments!$J:$J,'Schedule 2I Adjustments'!$A55)</f>
        <v>0</v>
      </c>
      <c r="X55" s="309">
        <f t="shared" si="6"/>
        <v>0</v>
      </c>
      <c r="Y55" s="120">
        <f>'As-Filed Schedule 2I'!O55</f>
        <v>0</v>
      </c>
      <c r="Z55" s="313">
        <f>SUMIFS(Adjustments!$G:$G,Adjustments!$H:$H,"2I",Adjustments!$I:$I,'Schedule 2I Adjustments'!$Y$12,Adjustments!$J:$J,'Schedule 2I Adjustments'!$A55)</f>
        <v>0</v>
      </c>
      <c r="AA55" s="309">
        <f t="shared" si="7"/>
        <v>0</v>
      </c>
    </row>
    <row r="56" spans="1:27" x14ac:dyDescent="0.35">
      <c r="A56" s="24">
        <v>42</v>
      </c>
      <c r="B56" s="507" t="str">
        <f>IF('As-Filed Schedule 2I'!B56:D56=0,"",'As-Filed Schedule 2I'!B56:D56)</f>
        <v/>
      </c>
      <c r="C56" s="507"/>
      <c r="D56" s="507"/>
      <c r="F56" s="117">
        <f>'As-Filed Schedule 2I'!F56</f>
        <v>0</v>
      </c>
      <c r="G56" s="313">
        <f>SUMIFS(Adjustments!$G:$G,Adjustments!$H:$H,"2I",Adjustments!$I:$I,'Schedule 2I Adjustments'!$F$12,Adjustments!$J:$J,'Schedule 2I Adjustments'!$A56)</f>
        <v>0</v>
      </c>
      <c r="H56" s="309">
        <f t="shared" si="0"/>
        <v>0</v>
      </c>
      <c r="I56" s="68">
        <f>IFERROR(F56*'As-Filed Schedule 1'!$E$103,0)</f>
        <v>0</v>
      </c>
      <c r="J56" s="310">
        <f>IFERROR(H56*'Adjusted Schedule 1'!$E$104,0)</f>
        <v>0</v>
      </c>
      <c r="K56" s="68">
        <f t="shared" si="1"/>
        <v>0</v>
      </c>
      <c r="L56" s="310">
        <f t="shared" si="2"/>
        <v>0</v>
      </c>
      <c r="N56" s="117">
        <f>'As-Filed Schedule 2I'!J56</f>
        <v>0</v>
      </c>
      <c r="O56" s="313">
        <f>SUMIFS(Adjustments!$G:$G,Adjustments!$H:$H,"2I",Adjustments!$I:$I,'Schedule 2I Adjustments'!$N$12,Adjustments!$J:$J,'Schedule 2I Adjustments'!$A56)</f>
        <v>0</v>
      </c>
      <c r="P56" s="309">
        <f t="shared" si="3"/>
        <v>0</v>
      </c>
      <c r="Q56" s="68">
        <f>IFERROR(N56*'As-Filed Schedule 1'!$E$103,0)</f>
        <v>0</v>
      </c>
      <c r="R56" s="68">
        <f>IFERROR(P56*'Adjusted Schedule 1'!$E$104,0)</f>
        <v>0</v>
      </c>
      <c r="S56" s="68">
        <f t="shared" si="4"/>
        <v>0</v>
      </c>
      <c r="T56" s="310">
        <f t="shared" si="5"/>
        <v>0</v>
      </c>
      <c r="V56" s="120">
        <f>'As-Filed Schedule 2I'!N56</f>
        <v>0</v>
      </c>
      <c r="W56" s="313">
        <f>SUMIFS(Adjustments!$G:$G,Adjustments!$H:$H,"2I",Adjustments!$I:$I,'Schedule 2I Adjustments'!$V$12,Adjustments!$J:$J,'Schedule 2I Adjustments'!$A56)</f>
        <v>0</v>
      </c>
      <c r="X56" s="309">
        <f t="shared" si="6"/>
        <v>0</v>
      </c>
      <c r="Y56" s="120">
        <f>'As-Filed Schedule 2I'!O56</f>
        <v>0</v>
      </c>
      <c r="Z56" s="313">
        <f>SUMIFS(Adjustments!$G:$G,Adjustments!$H:$H,"2I",Adjustments!$I:$I,'Schedule 2I Adjustments'!$Y$12,Adjustments!$J:$J,'Schedule 2I Adjustments'!$A56)</f>
        <v>0</v>
      </c>
      <c r="AA56" s="309">
        <f t="shared" si="7"/>
        <v>0</v>
      </c>
    </row>
    <row r="57" spans="1:27" x14ac:dyDescent="0.35">
      <c r="A57" s="24">
        <v>43</v>
      </c>
      <c r="B57" s="507" t="str">
        <f>IF('As-Filed Schedule 2I'!B57:D57=0,"",'As-Filed Schedule 2I'!B57:D57)</f>
        <v/>
      </c>
      <c r="C57" s="507"/>
      <c r="D57" s="507"/>
      <c r="F57" s="117">
        <f>'As-Filed Schedule 2I'!F57</f>
        <v>0</v>
      </c>
      <c r="G57" s="313">
        <f>SUMIFS(Adjustments!$G:$G,Adjustments!$H:$H,"2I",Adjustments!$I:$I,'Schedule 2I Adjustments'!$F$12,Adjustments!$J:$J,'Schedule 2I Adjustments'!$A57)</f>
        <v>0</v>
      </c>
      <c r="H57" s="309">
        <f t="shared" si="0"/>
        <v>0</v>
      </c>
      <c r="I57" s="68">
        <f>IFERROR(F57*'As-Filed Schedule 1'!$E$103,0)</f>
        <v>0</v>
      </c>
      <c r="J57" s="310">
        <f>IFERROR(H57*'Adjusted Schedule 1'!$E$104,0)</f>
        <v>0</v>
      </c>
      <c r="K57" s="68">
        <f t="shared" si="1"/>
        <v>0</v>
      </c>
      <c r="L57" s="310">
        <f t="shared" si="2"/>
        <v>0</v>
      </c>
      <c r="N57" s="117">
        <f>'As-Filed Schedule 2I'!J57</f>
        <v>0</v>
      </c>
      <c r="O57" s="313">
        <f>SUMIFS(Adjustments!$G:$G,Adjustments!$H:$H,"2I",Adjustments!$I:$I,'Schedule 2I Adjustments'!$N$12,Adjustments!$J:$J,'Schedule 2I Adjustments'!$A57)</f>
        <v>0</v>
      </c>
      <c r="P57" s="309">
        <f t="shared" si="3"/>
        <v>0</v>
      </c>
      <c r="Q57" s="68">
        <f>IFERROR(N57*'As-Filed Schedule 1'!$E$103,0)</f>
        <v>0</v>
      </c>
      <c r="R57" s="68">
        <f>IFERROR(P57*'Adjusted Schedule 1'!$E$104,0)</f>
        <v>0</v>
      </c>
      <c r="S57" s="68">
        <f t="shared" si="4"/>
        <v>0</v>
      </c>
      <c r="T57" s="310">
        <f t="shared" si="5"/>
        <v>0</v>
      </c>
      <c r="V57" s="120">
        <f>'As-Filed Schedule 2I'!N57</f>
        <v>0</v>
      </c>
      <c r="W57" s="313">
        <f>SUMIFS(Adjustments!$G:$G,Adjustments!$H:$H,"2I",Adjustments!$I:$I,'Schedule 2I Adjustments'!$V$12,Adjustments!$J:$J,'Schedule 2I Adjustments'!$A57)</f>
        <v>0</v>
      </c>
      <c r="X57" s="309">
        <f t="shared" si="6"/>
        <v>0</v>
      </c>
      <c r="Y57" s="120">
        <f>'As-Filed Schedule 2I'!O57</f>
        <v>0</v>
      </c>
      <c r="Z57" s="313">
        <f>SUMIFS(Adjustments!$G:$G,Adjustments!$H:$H,"2I",Adjustments!$I:$I,'Schedule 2I Adjustments'!$Y$12,Adjustments!$J:$J,'Schedule 2I Adjustments'!$A57)</f>
        <v>0</v>
      </c>
      <c r="AA57" s="309">
        <f t="shared" si="7"/>
        <v>0</v>
      </c>
    </row>
    <row r="58" spans="1:27" x14ac:dyDescent="0.35">
      <c r="A58" s="24">
        <v>44</v>
      </c>
      <c r="B58" s="507" t="str">
        <f>IF('As-Filed Schedule 2I'!B58:D58=0,"",'As-Filed Schedule 2I'!B58:D58)</f>
        <v/>
      </c>
      <c r="C58" s="507"/>
      <c r="D58" s="507"/>
      <c r="F58" s="117">
        <f>'As-Filed Schedule 2I'!F58</f>
        <v>0</v>
      </c>
      <c r="G58" s="313">
        <f>SUMIFS(Adjustments!$G:$G,Adjustments!$H:$H,"2I",Adjustments!$I:$I,'Schedule 2I Adjustments'!$F$12,Adjustments!$J:$J,'Schedule 2I Adjustments'!$A58)</f>
        <v>0</v>
      </c>
      <c r="H58" s="309">
        <f t="shared" si="0"/>
        <v>0</v>
      </c>
      <c r="I58" s="68">
        <f>IFERROR(F58*'As-Filed Schedule 1'!$E$103,0)</f>
        <v>0</v>
      </c>
      <c r="J58" s="310">
        <f>IFERROR(H58*'Adjusted Schedule 1'!$E$104,0)</f>
        <v>0</v>
      </c>
      <c r="K58" s="68">
        <f t="shared" si="1"/>
        <v>0</v>
      </c>
      <c r="L58" s="310">
        <f t="shared" si="2"/>
        <v>0</v>
      </c>
      <c r="N58" s="117">
        <f>'As-Filed Schedule 2I'!J58</f>
        <v>0</v>
      </c>
      <c r="O58" s="313">
        <f>SUMIFS(Adjustments!$G:$G,Adjustments!$H:$H,"2I",Adjustments!$I:$I,'Schedule 2I Adjustments'!$N$12,Adjustments!$J:$J,'Schedule 2I Adjustments'!$A58)</f>
        <v>0</v>
      </c>
      <c r="P58" s="309">
        <f t="shared" si="3"/>
        <v>0</v>
      </c>
      <c r="Q58" s="68">
        <f>IFERROR(N58*'As-Filed Schedule 1'!$E$103,0)</f>
        <v>0</v>
      </c>
      <c r="R58" s="68">
        <f>IFERROR(P58*'Adjusted Schedule 1'!$E$104,0)</f>
        <v>0</v>
      </c>
      <c r="S58" s="68">
        <f t="shared" si="4"/>
        <v>0</v>
      </c>
      <c r="T58" s="310">
        <f t="shared" si="5"/>
        <v>0</v>
      </c>
      <c r="V58" s="120">
        <f>'As-Filed Schedule 2I'!N58</f>
        <v>0</v>
      </c>
      <c r="W58" s="313">
        <f>SUMIFS(Adjustments!$G:$G,Adjustments!$H:$H,"2I",Adjustments!$I:$I,'Schedule 2I Adjustments'!$V$12,Adjustments!$J:$J,'Schedule 2I Adjustments'!$A58)</f>
        <v>0</v>
      </c>
      <c r="X58" s="309">
        <f t="shared" si="6"/>
        <v>0</v>
      </c>
      <c r="Y58" s="120">
        <f>'As-Filed Schedule 2I'!O58</f>
        <v>0</v>
      </c>
      <c r="Z58" s="313">
        <f>SUMIFS(Adjustments!$G:$G,Adjustments!$H:$H,"2I",Adjustments!$I:$I,'Schedule 2I Adjustments'!$Y$12,Adjustments!$J:$J,'Schedule 2I Adjustments'!$A58)</f>
        <v>0</v>
      </c>
      <c r="AA58" s="309">
        <f t="shared" si="7"/>
        <v>0</v>
      </c>
    </row>
    <row r="59" spans="1:27" x14ac:dyDescent="0.35">
      <c r="A59" s="24">
        <v>45</v>
      </c>
      <c r="B59" s="507" t="str">
        <f>IF('As-Filed Schedule 2I'!B59:D59=0,"",'As-Filed Schedule 2I'!B59:D59)</f>
        <v/>
      </c>
      <c r="C59" s="507"/>
      <c r="D59" s="507"/>
      <c r="F59" s="117">
        <f>'As-Filed Schedule 2I'!F59</f>
        <v>0</v>
      </c>
      <c r="G59" s="313">
        <f>SUMIFS(Adjustments!$G:$G,Adjustments!$H:$H,"2I",Adjustments!$I:$I,'Schedule 2I Adjustments'!$F$12,Adjustments!$J:$J,'Schedule 2I Adjustments'!$A59)</f>
        <v>0</v>
      </c>
      <c r="H59" s="309">
        <f t="shared" si="0"/>
        <v>0</v>
      </c>
      <c r="I59" s="68">
        <f>IFERROR(F59*'As-Filed Schedule 1'!$E$103,0)</f>
        <v>0</v>
      </c>
      <c r="J59" s="310">
        <f>IFERROR(H59*'Adjusted Schedule 1'!$E$104,0)</f>
        <v>0</v>
      </c>
      <c r="K59" s="68">
        <f t="shared" si="1"/>
        <v>0</v>
      </c>
      <c r="L59" s="310">
        <f t="shared" si="2"/>
        <v>0</v>
      </c>
      <c r="N59" s="117">
        <f>'As-Filed Schedule 2I'!J59</f>
        <v>0</v>
      </c>
      <c r="O59" s="313">
        <f>SUMIFS(Adjustments!$G:$G,Adjustments!$H:$H,"2I",Adjustments!$I:$I,'Schedule 2I Adjustments'!$N$12,Adjustments!$J:$J,'Schedule 2I Adjustments'!$A59)</f>
        <v>0</v>
      </c>
      <c r="P59" s="309">
        <f t="shared" si="3"/>
        <v>0</v>
      </c>
      <c r="Q59" s="68">
        <f>IFERROR(N59*'As-Filed Schedule 1'!$E$103,0)</f>
        <v>0</v>
      </c>
      <c r="R59" s="68">
        <f>IFERROR(P59*'Adjusted Schedule 1'!$E$104,0)</f>
        <v>0</v>
      </c>
      <c r="S59" s="68">
        <f t="shared" si="4"/>
        <v>0</v>
      </c>
      <c r="T59" s="310">
        <f t="shared" si="5"/>
        <v>0</v>
      </c>
      <c r="V59" s="120">
        <f>'As-Filed Schedule 2I'!N59</f>
        <v>0</v>
      </c>
      <c r="W59" s="313">
        <f>SUMIFS(Adjustments!$G:$G,Adjustments!$H:$H,"2I",Adjustments!$I:$I,'Schedule 2I Adjustments'!$V$12,Adjustments!$J:$J,'Schedule 2I Adjustments'!$A59)</f>
        <v>0</v>
      </c>
      <c r="X59" s="309">
        <f t="shared" si="6"/>
        <v>0</v>
      </c>
      <c r="Y59" s="120">
        <f>'As-Filed Schedule 2I'!O59</f>
        <v>0</v>
      </c>
      <c r="Z59" s="313">
        <f>SUMIFS(Adjustments!$G:$G,Adjustments!$H:$H,"2I",Adjustments!$I:$I,'Schedule 2I Adjustments'!$Y$12,Adjustments!$J:$J,'Schedule 2I Adjustments'!$A59)</f>
        <v>0</v>
      </c>
      <c r="AA59" s="309">
        <f t="shared" si="7"/>
        <v>0</v>
      </c>
    </row>
    <row r="60" spans="1:27" x14ac:dyDescent="0.35">
      <c r="A60" s="24">
        <v>46</v>
      </c>
      <c r="B60" s="507" t="str">
        <f>IF('As-Filed Schedule 2I'!B60:D60=0,"",'As-Filed Schedule 2I'!B60:D60)</f>
        <v/>
      </c>
      <c r="C60" s="507"/>
      <c r="D60" s="507"/>
      <c r="F60" s="117">
        <f>'As-Filed Schedule 2I'!F60</f>
        <v>0</v>
      </c>
      <c r="G60" s="313">
        <f>SUMIFS(Adjustments!$G:$G,Adjustments!$H:$H,"2I",Adjustments!$I:$I,'Schedule 2I Adjustments'!$F$12,Adjustments!$J:$J,'Schedule 2I Adjustments'!$A60)</f>
        <v>0</v>
      </c>
      <c r="H60" s="309">
        <f t="shared" si="0"/>
        <v>0</v>
      </c>
      <c r="I60" s="68">
        <f>IFERROR(F60*'As-Filed Schedule 1'!$E$103,0)</f>
        <v>0</v>
      </c>
      <c r="J60" s="310">
        <f>IFERROR(H60*'Adjusted Schedule 1'!$E$104,0)</f>
        <v>0</v>
      </c>
      <c r="K60" s="68">
        <f t="shared" si="1"/>
        <v>0</v>
      </c>
      <c r="L60" s="310">
        <f t="shared" si="2"/>
        <v>0</v>
      </c>
      <c r="N60" s="117">
        <f>'As-Filed Schedule 2I'!J60</f>
        <v>0</v>
      </c>
      <c r="O60" s="313">
        <f>SUMIFS(Adjustments!$G:$G,Adjustments!$H:$H,"2I",Adjustments!$I:$I,'Schedule 2I Adjustments'!$N$12,Adjustments!$J:$J,'Schedule 2I Adjustments'!$A60)</f>
        <v>0</v>
      </c>
      <c r="P60" s="309">
        <f t="shared" si="3"/>
        <v>0</v>
      </c>
      <c r="Q60" s="68">
        <f>IFERROR(N60*'As-Filed Schedule 1'!$E$103,0)</f>
        <v>0</v>
      </c>
      <c r="R60" s="68">
        <f>IFERROR(P60*'Adjusted Schedule 1'!$E$104,0)</f>
        <v>0</v>
      </c>
      <c r="S60" s="68">
        <f t="shared" si="4"/>
        <v>0</v>
      </c>
      <c r="T60" s="310">
        <f t="shared" si="5"/>
        <v>0</v>
      </c>
      <c r="V60" s="120">
        <f>'As-Filed Schedule 2I'!N60</f>
        <v>0</v>
      </c>
      <c r="W60" s="313">
        <f>SUMIFS(Adjustments!$G:$G,Adjustments!$H:$H,"2I",Adjustments!$I:$I,'Schedule 2I Adjustments'!$V$12,Adjustments!$J:$J,'Schedule 2I Adjustments'!$A60)</f>
        <v>0</v>
      </c>
      <c r="X60" s="309">
        <f t="shared" si="6"/>
        <v>0</v>
      </c>
      <c r="Y60" s="120">
        <f>'As-Filed Schedule 2I'!O60</f>
        <v>0</v>
      </c>
      <c r="Z60" s="313">
        <f>SUMIFS(Adjustments!$G:$G,Adjustments!$H:$H,"2I",Adjustments!$I:$I,'Schedule 2I Adjustments'!$Y$12,Adjustments!$J:$J,'Schedule 2I Adjustments'!$A60)</f>
        <v>0</v>
      </c>
      <c r="AA60" s="309">
        <f t="shared" si="7"/>
        <v>0</v>
      </c>
    </row>
    <row r="61" spans="1:27" x14ac:dyDescent="0.35">
      <c r="A61" s="24">
        <v>47</v>
      </c>
      <c r="B61" s="507" t="str">
        <f>IF('As-Filed Schedule 2I'!B61:D61=0,"",'As-Filed Schedule 2I'!B61:D61)</f>
        <v/>
      </c>
      <c r="C61" s="507"/>
      <c r="D61" s="507"/>
      <c r="F61" s="117">
        <f>'As-Filed Schedule 2I'!F61</f>
        <v>0</v>
      </c>
      <c r="G61" s="313">
        <f>SUMIFS(Adjustments!$G:$G,Adjustments!$H:$H,"2I",Adjustments!$I:$I,'Schedule 2I Adjustments'!$F$12,Adjustments!$J:$J,'Schedule 2I Adjustments'!$A61)</f>
        <v>0</v>
      </c>
      <c r="H61" s="309">
        <f t="shared" si="0"/>
        <v>0</v>
      </c>
      <c r="I61" s="68">
        <f>IFERROR(F61*'As-Filed Schedule 1'!$E$103,0)</f>
        <v>0</v>
      </c>
      <c r="J61" s="310">
        <f>IFERROR(H61*'Adjusted Schedule 1'!$E$104,0)</f>
        <v>0</v>
      </c>
      <c r="K61" s="68">
        <f t="shared" si="1"/>
        <v>0</v>
      </c>
      <c r="L61" s="310">
        <f t="shared" si="2"/>
        <v>0</v>
      </c>
      <c r="N61" s="117">
        <f>'As-Filed Schedule 2I'!J61</f>
        <v>0</v>
      </c>
      <c r="O61" s="313">
        <f>SUMIFS(Adjustments!$G:$G,Adjustments!$H:$H,"2I",Adjustments!$I:$I,'Schedule 2I Adjustments'!$N$12,Adjustments!$J:$J,'Schedule 2I Adjustments'!$A61)</f>
        <v>0</v>
      </c>
      <c r="P61" s="309">
        <f t="shared" si="3"/>
        <v>0</v>
      </c>
      <c r="Q61" s="68">
        <f>IFERROR(N61*'As-Filed Schedule 1'!$E$103,0)</f>
        <v>0</v>
      </c>
      <c r="R61" s="68">
        <f>IFERROR(P61*'Adjusted Schedule 1'!$E$104,0)</f>
        <v>0</v>
      </c>
      <c r="S61" s="68">
        <f t="shared" si="4"/>
        <v>0</v>
      </c>
      <c r="T61" s="310">
        <f t="shared" si="5"/>
        <v>0</v>
      </c>
      <c r="V61" s="120">
        <f>'As-Filed Schedule 2I'!N61</f>
        <v>0</v>
      </c>
      <c r="W61" s="313">
        <f>SUMIFS(Adjustments!$G:$G,Adjustments!$H:$H,"2I",Adjustments!$I:$I,'Schedule 2I Adjustments'!$V$12,Adjustments!$J:$J,'Schedule 2I Adjustments'!$A61)</f>
        <v>0</v>
      </c>
      <c r="X61" s="309">
        <f t="shared" si="6"/>
        <v>0</v>
      </c>
      <c r="Y61" s="120">
        <f>'As-Filed Schedule 2I'!O61</f>
        <v>0</v>
      </c>
      <c r="Z61" s="313">
        <f>SUMIFS(Adjustments!$G:$G,Adjustments!$H:$H,"2I",Adjustments!$I:$I,'Schedule 2I Adjustments'!$Y$12,Adjustments!$J:$J,'Schedule 2I Adjustments'!$A61)</f>
        <v>0</v>
      </c>
      <c r="AA61" s="309">
        <f t="shared" si="7"/>
        <v>0</v>
      </c>
    </row>
    <row r="62" spans="1:27" x14ac:dyDescent="0.35">
      <c r="A62" s="24">
        <v>48</v>
      </c>
      <c r="B62" s="507" t="str">
        <f>IF('As-Filed Schedule 2I'!B62:D62=0,"",'As-Filed Schedule 2I'!B62:D62)</f>
        <v/>
      </c>
      <c r="C62" s="507"/>
      <c r="D62" s="507"/>
      <c r="F62" s="117">
        <f>'As-Filed Schedule 2I'!F62</f>
        <v>0</v>
      </c>
      <c r="G62" s="313">
        <f>SUMIFS(Adjustments!$G:$G,Adjustments!$H:$H,"2I",Adjustments!$I:$I,'Schedule 2I Adjustments'!$F$12,Adjustments!$J:$J,'Schedule 2I Adjustments'!$A62)</f>
        <v>0</v>
      </c>
      <c r="H62" s="309">
        <f t="shared" si="0"/>
        <v>0</v>
      </c>
      <c r="I62" s="68">
        <f>IFERROR(F62*'As-Filed Schedule 1'!$E$103,0)</f>
        <v>0</v>
      </c>
      <c r="J62" s="310">
        <f>IFERROR(H62*'Adjusted Schedule 1'!$E$104,0)</f>
        <v>0</v>
      </c>
      <c r="K62" s="68">
        <f t="shared" si="1"/>
        <v>0</v>
      </c>
      <c r="L62" s="310">
        <f t="shared" si="2"/>
        <v>0</v>
      </c>
      <c r="N62" s="117">
        <f>'As-Filed Schedule 2I'!J62</f>
        <v>0</v>
      </c>
      <c r="O62" s="313">
        <f>SUMIFS(Adjustments!$G:$G,Adjustments!$H:$H,"2I",Adjustments!$I:$I,'Schedule 2I Adjustments'!$N$12,Adjustments!$J:$J,'Schedule 2I Adjustments'!$A62)</f>
        <v>0</v>
      </c>
      <c r="P62" s="309">
        <f t="shared" si="3"/>
        <v>0</v>
      </c>
      <c r="Q62" s="68">
        <f>IFERROR(N62*'As-Filed Schedule 1'!$E$103,0)</f>
        <v>0</v>
      </c>
      <c r="R62" s="68">
        <f>IFERROR(P62*'Adjusted Schedule 1'!$E$104,0)</f>
        <v>0</v>
      </c>
      <c r="S62" s="68">
        <f t="shared" si="4"/>
        <v>0</v>
      </c>
      <c r="T62" s="310">
        <f t="shared" si="5"/>
        <v>0</v>
      </c>
      <c r="V62" s="120">
        <f>'As-Filed Schedule 2I'!N62</f>
        <v>0</v>
      </c>
      <c r="W62" s="313">
        <f>SUMIFS(Adjustments!$G:$G,Adjustments!$H:$H,"2I",Adjustments!$I:$I,'Schedule 2I Adjustments'!$V$12,Adjustments!$J:$J,'Schedule 2I Adjustments'!$A62)</f>
        <v>0</v>
      </c>
      <c r="X62" s="309">
        <f t="shared" si="6"/>
        <v>0</v>
      </c>
      <c r="Y62" s="120">
        <f>'As-Filed Schedule 2I'!O62</f>
        <v>0</v>
      </c>
      <c r="Z62" s="313">
        <f>SUMIFS(Adjustments!$G:$G,Adjustments!$H:$H,"2I",Adjustments!$I:$I,'Schedule 2I Adjustments'!$Y$12,Adjustments!$J:$J,'Schedule 2I Adjustments'!$A62)</f>
        <v>0</v>
      </c>
      <c r="AA62" s="309">
        <f t="shared" si="7"/>
        <v>0</v>
      </c>
    </row>
    <row r="63" spans="1:27" x14ac:dyDescent="0.35">
      <c r="A63" s="24">
        <v>49</v>
      </c>
      <c r="B63" s="507" t="str">
        <f>IF('As-Filed Schedule 2I'!B63:D63=0,"",'As-Filed Schedule 2I'!B63:D63)</f>
        <v/>
      </c>
      <c r="C63" s="507"/>
      <c r="D63" s="507"/>
      <c r="F63" s="117">
        <f>'As-Filed Schedule 2I'!F63</f>
        <v>0</v>
      </c>
      <c r="G63" s="313">
        <f>SUMIFS(Adjustments!$G:$G,Adjustments!$H:$H,"2I",Adjustments!$I:$I,'Schedule 2I Adjustments'!$F$12,Adjustments!$J:$J,'Schedule 2I Adjustments'!$A63)</f>
        <v>0</v>
      </c>
      <c r="H63" s="309">
        <f t="shared" si="0"/>
        <v>0</v>
      </c>
      <c r="I63" s="68">
        <f>IFERROR(F63*'As-Filed Schedule 1'!$E$103,0)</f>
        <v>0</v>
      </c>
      <c r="J63" s="310">
        <f>IFERROR(H63*'Adjusted Schedule 1'!$E$104,0)</f>
        <v>0</v>
      </c>
      <c r="K63" s="68">
        <f t="shared" si="1"/>
        <v>0</v>
      </c>
      <c r="L63" s="310">
        <f t="shared" si="2"/>
        <v>0</v>
      </c>
      <c r="N63" s="117">
        <f>'As-Filed Schedule 2I'!J63</f>
        <v>0</v>
      </c>
      <c r="O63" s="313">
        <f>SUMIFS(Adjustments!$G:$G,Adjustments!$H:$H,"2I",Adjustments!$I:$I,'Schedule 2I Adjustments'!$N$12,Adjustments!$J:$J,'Schedule 2I Adjustments'!$A63)</f>
        <v>0</v>
      </c>
      <c r="P63" s="309">
        <f t="shared" si="3"/>
        <v>0</v>
      </c>
      <c r="Q63" s="68">
        <f>IFERROR(N63*'As-Filed Schedule 1'!$E$103,0)</f>
        <v>0</v>
      </c>
      <c r="R63" s="68">
        <f>IFERROR(P63*'Adjusted Schedule 1'!$E$104,0)</f>
        <v>0</v>
      </c>
      <c r="S63" s="68">
        <f t="shared" si="4"/>
        <v>0</v>
      </c>
      <c r="T63" s="310">
        <f t="shared" si="5"/>
        <v>0</v>
      </c>
      <c r="V63" s="120">
        <f>'As-Filed Schedule 2I'!N63</f>
        <v>0</v>
      </c>
      <c r="W63" s="313">
        <f>SUMIFS(Adjustments!$G:$G,Adjustments!$H:$H,"2I",Adjustments!$I:$I,'Schedule 2I Adjustments'!$V$12,Adjustments!$J:$J,'Schedule 2I Adjustments'!$A63)</f>
        <v>0</v>
      </c>
      <c r="X63" s="309">
        <f t="shared" si="6"/>
        <v>0</v>
      </c>
      <c r="Y63" s="120">
        <f>'As-Filed Schedule 2I'!O63</f>
        <v>0</v>
      </c>
      <c r="Z63" s="313">
        <f>SUMIFS(Adjustments!$G:$G,Adjustments!$H:$H,"2I",Adjustments!$I:$I,'Schedule 2I Adjustments'!$Y$12,Adjustments!$J:$J,'Schedule 2I Adjustments'!$A63)</f>
        <v>0</v>
      </c>
      <c r="AA63" s="309">
        <f t="shared" si="7"/>
        <v>0</v>
      </c>
    </row>
    <row r="64" spans="1:27" x14ac:dyDescent="0.35">
      <c r="A64" s="24">
        <v>50</v>
      </c>
      <c r="B64" s="507" t="str">
        <f>IF('As-Filed Schedule 2I'!B64:D64=0,"",'As-Filed Schedule 2I'!B64:D64)</f>
        <v/>
      </c>
      <c r="C64" s="507"/>
      <c r="D64" s="507"/>
      <c r="F64" s="117">
        <f>'As-Filed Schedule 2I'!F64</f>
        <v>0</v>
      </c>
      <c r="G64" s="313">
        <f>SUMIFS(Adjustments!$G:$G,Adjustments!$H:$H,"2I",Adjustments!$I:$I,'Schedule 2I Adjustments'!$F$12,Adjustments!$J:$J,'Schedule 2I Adjustments'!$A64)</f>
        <v>0</v>
      </c>
      <c r="H64" s="309">
        <f t="shared" si="0"/>
        <v>0</v>
      </c>
      <c r="I64" s="68">
        <f>IFERROR(F64*'As-Filed Schedule 1'!$E$103,0)</f>
        <v>0</v>
      </c>
      <c r="J64" s="310">
        <f>IFERROR(H64*'Adjusted Schedule 1'!$E$104,0)</f>
        <v>0</v>
      </c>
      <c r="K64" s="68">
        <f t="shared" si="1"/>
        <v>0</v>
      </c>
      <c r="L64" s="310">
        <f t="shared" si="2"/>
        <v>0</v>
      </c>
      <c r="N64" s="117">
        <f>'As-Filed Schedule 2I'!J64</f>
        <v>0</v>
      </c>
      <c r="O64" s="313">
        <f>SUMIFS(Adjustments!$G:$G,Adjustments!$H:$H,"2I",Adjustments!$I:$I,'Schedule 2I Adjustments'!$N$12,Adjustments!$J:$J,'Schedule 2I Adjustments'!$A64)</f>
        <v>0</v>
      </c>
      <c r="P64" s="309">
        <f t="shared" si="3"/>
        <v>0</v>
      </c>
      <c r="Q64" s="68">
        <f>IFERROR(N64*'As-Filed Schedule 1'!$E$103,0)</f>
        <v>0</v>
      </c>
      <c r="R64" s="68">
        <f>IFERROR(P64*'Adjusted Schedule 1'!$E$104,0)</f>
        <v>0</v>
      </c>
      <c r="S64" s="68">
        <f t="shared" si="4"/>
        <v>0</v>
      </c>
      <c r="T64" s="310">
        <f t="shared" si="5"/>
        <v>0</v>
      </c>
      <c r="V64" s="120">
        <f>'As-Filed Schedule 2I'!N64</f>
        <v>0</v>
      </c>
      <c r="W64" s="313">
        <f>SUMIFS(Adjustments!$G:$G,Adjustments!$H:$H,"2I",Adjustments!$I:$I,'Schedule 2I Adjustments'!$V$12,Adjustments!$J:$J,'Schedule 2I Adjustments'!$A64)</f>
        <v>0</v>
      </c>
      <c r="X64" s="309">
        <f t="shared" si="6"/>
        <v>0</v>
      </c>
      <c r="Y64" s="120">
        <f>'As-Filed Schedule 2I'!O64</f>
        <v>0</v>
      </c>
      <c r="Z64" s="313">
        <f>SUMIFS(Adjustments!$G:$G,Adjustments!$H:$H,"2I",Adjustments!$I:$I,'Schedule 2I Adjustments'!$Y$12,Adjustments!$J:$J,'Schedule 2I Adjustments'!$A64)</f>
        <v>0</v>
      </c>
      <c r="AA64" s="309">
        <f t="shared" si="7"/>
        <v>0</v>
      </c>
    </row>
    <row r="65" spans="1:27" x14ac:dyDescent="0.35">
      <c r="A65" s="24">
        <v>51</v>
      </c>
      <c r="B65" s="507" t="str">
        <f>IF('As-Filed Schedule 2I'!B65:D65=0,"",'As-Filed Schedule 2I'!B65:D65)</f>
        <v/>
      </c>
      <c r="C65" s="507"/>
      <c r="D65" s="507"/>
      <c r="F65" s="117">
        <f>'As-Filed Schedule 2I'!F65</f>
        <v>0</v>
      </c>
      <c r="G65" s="313">
        <f>SUMIFS(Adjustments!$G:$G,Adjustments!$H:$H,"2I",Adjustments!$I:$I,'Schedule 2I Adjustments'!$F$12,Adjustments!$J:$J,'Schedule 2I Adjustments'!$A65)</f>
        <v>0</v>
      </c>
      <c r="H65" s="309">
        <f t="shared" si="0"/>
        <v>0</v>
      </c>
      <c r="I65" s="68">
        <f>IFERROR(F65*'As-Filed Schedule 1'!$E$103,0)</f>
        <v>0</v>
      </c>
      <c r="J65" s="310">
        <f>IFERROR(H65*'Adjusted Schedule 1'!$E$104,0)</f>
        <v>0</v>
      </c>
      <c r="K65" s="68">
        <f t="shared" si="1"/>
        <v>0</v>
      </c>
      <c r="L65" s="310">
        <f t="shared" si="2"/>
        <v>0</v>
      </c>
      <c r="N65" s="117">
        <f>'As-Filed Schedule 2I'!J65</f>
        <v>0</v>
      </c>
      <c r="O65" s="313">
        <f>SUMIFS(Adjustments!$G:$G,Adjustments!$H:$H,"2I",Adjustments!$I:$I,'Schedule 2I Adjustments'!$N$12,Adjustments!$J:$J,'Schedule 2I Adjustments'!$A65)</f>
        <v>0</v>
      </c>
      <c r="P65" s="309">
        <f t="shared" si="3"/>
        <v>0</v>
      </c>
      <c r="Q65" s="68">
        <f>IFERROR(N65*'As-Filed Schedule 1'!$E$103,0)</f>
        <v>0</v>
      </c>
      <c r="R65" s="68">
        <f>IFERROR(P65*'Adjusted Schedule 1'!$E$104,0)</f>
        <v>0</v>
      </c>
      <c r="S65" s="68">
        <f t="shared" si="4"/>
        <v>0</v>
      </c>
      <c r="T65" s="310">
        <f t="shared" si="5"/>
        <v>0</v>
      </c>
      <c r="V65" s="120">
        <f>'As-Filed Schedule 2I'!N65</f>
        <v>0</v>
      </c>
      <c r="W65" s="313">
        <f>SUMIFS(Adjustments!$G:$G,Adjustments!$H:$H,"2I",Adjustments!$I:$I,'Schedule 2I Adjustments'!$V$12,Adjustments!$J:$J,'Schedule 2I Adjustments'!$A65)</f>
        <v>0</v>
      </c>
      <c r="X65" s="309">
        <f t="shared" si="6"/>
        <v>0</v>
      </c>
      <c r="Y65" s="120">
        <f>'As-Filed Schedule 2I'!O65</f>
        <v>0</v>
      </c>
      <c r="Z65" s="313">
        <f>SUMIFS(Adjustments!$G:$G,Adjustments!$H:$H,"2I",Adjustments!$I:$I,'Schedule 2I Adjustments'!$Y$12,Adjustments!$J:$J,'Schedule 2I Adjustments'!$A65)</f>
        <v>0</v>
      </c>
      <c r="AA65" s="309">
        <f t="shared" si="7"/>
        <v>0</v>
      </c>
    </row>
    <row r="66" spans="1:27" x14ac:dyDescent="0.35">
      <c r="A66" s="24">
        <v>52</v>
      </c>
      <c r="B66" s="507" t="str">
        <f>IF('As-Filed Schedule 2I'!B66:D66=0,"",'As-Filed Schedule 2I'!B66:D66)</f>
        <v/>
      </c>
      <c r="C66" s="507"/>
      <c r="D66" s="507"/>
      <c r="F66" s="117">
        <f>'As-Filed Schedule 2I'!F66</f>
        <v>0</v>
      </c>
      <c r="G66" s="313">
        <f>SUMIFS(Adjustments!$G:$G,Adjustments!$H:$H,"2I",Adjustments!$I:$I,'Schedule 2I Adjustments'!$F$12,Adjustments!$J:$J,'Schedule 2I Adjustments'!$A66)</f>
        <v>0</v>
      </c>
      <c r="H66" s="309">
        <f t="shared" si="0"/>
        <v>0</v>
      </c>
      <c r="I66" s="68">
        <f>IFERROR(F66*'As-Filed Schedule 1'!$E$103,0)</f>
        <v>0</v>
      </c>
      <c r="J66" s="310">
        <f>IFERROR(H66*'Adjusted Schedule 1'!$E$104,0)</f>
        <v>0</v>
      </c>
      <c r="K66" s="68">
        <f t="shared" si="1"/>
        <v>0</v>
      </c>
      <c r="L66" s="310">
        <f t="shared" si="2"/>
        <v>0</v>
      </c>
      <c r="N66" s="117">
        <f>'As-Filed Schedule 2I'!J66</f>
        <v>0</v>
      </c>
      <c r="O66" s="313">
        <f>SUMIFS(Adjustments!$G:$G,Adjustments!$H:$H,"2I",Adjustments!$I:$I,'Schedule 2I Adjustments'!$N$12,Adjustments!$J:$J,'Schedule 2I Adjustments'!$A66)</f>
        <v>0</v>
      </c>
      <c r="P66" s="309">
        <f t="shared" si="3"/>
        <v>0</v>
      </c>
      <c r="Q66" s="68">
        <f>IFERROR(N66*'As-Filed Schedule 1'!$E$103,0)</f>
        <v>0</v>
      </c>
      <c r="R66" s="68">
        <f>IFERROR(P66*'Adjusted Schedule 1'!$E$104,0)</f>
        <v>0</v>
      </c>
      <c r="S66" s="68">
        <f t="shared" si="4"/>
        <v>0</v>
      </c>
      <c r="T66" s="310">
        <f t="shared" si="5"/>
        <v>0</v>
      </c>
      <c r="V66" s="120">
        <f>'As-Filed Schedule 2I'!N66</f>
        <v>0</v>
      </c>
      <c r="W66" s="313">
        <f>SUMIFS(Adjustments!$G:$G,Adjustments!$H:$H,"2I",Adjustments!$I:$I,'Schedule 2I Adjustments'!$V$12,Adjustments!$J:$J,'Schedule 2I Adjustments'!$A66)</f>
        <v>0</v>
      </c>
      <c r="X66" s="309">
        <f t="shared" si="6"/>
        <v>0</v>
      </c>
      <c r="Y66" s="120">
        <f>'As-Filed Schedule 2I'!O66</f>
        <v>0</v>
      </c>
      <c r="Z66" s="313">
        <f>SUMIFS(Adjustments!$G:$G,Adjustments!$H:$H,"2I",Adjustments!$I:$I,'Schedule 2I Adjustments'!$Y$12,Adjustments!$J:$J,'Schedule 2I Adjustments'!$A66)</f>
        <v>0</v>
      </c>
      <c r="AA66" s="309">
        <f t="shared" si="7"/>
        <v>0</v>
      </c>
    </row>
    <row r="67" spans="1:27" x14ac:dyDescent="0.35">
      <c r="A67" s="24">
        <v>53</v>
      </c>
      <c r="B67" s="507" t="str">
        <f>IF('As-Filed Schedule 2I'!B67:D67=0,"",'As-Filed Schedule 2I'!B67:D67)</f>
        <v/>
      </c>
      <c r="C67" s="507"/>
      <c r="D67" s="507"/>
      <c r="F67" s="117">
        <f>'As-Filed Schedule 2I'!F67</f>
        <v>0</v>
      </c>
      <c r="G67" s="313">
        <f>SUMIFS(Adjustments!$G:$G,Adjustments!$H:$H,"2I",Adjustments!$I:$I,'Schedule 2I Adjustments'!$F$12,Adjustments!$J:$J,'Schedule 2I Adjustments'!$A67)</f>
        <v>0</v>
      </c>
      <c r="H67" s="309">
        <f t="shared" si="0"/>
        <v>0</v>
      </c>
      <c r="I67" s="68">
        <f>IFERROR(F67*'As-Filed Schedule 1'!$E$103,0)</f>
        <v>0</v>
      </c>
      <c r="J67" s="310">
        <f>IFERROR(H67*'Adjusted Schedule 1'!$E$104,0)</f>
        <v>0</v>
      </c>
      <c r="K67" s="68">
        <f t="shared" si="1"/>
        <v>0</v>
      </c>
      <c r="L67" s="310">
        <f t="shared" si="2"/>
        <v>0</v>
      </c>
      <c r="N67" s="117">
        <f>'As-Filed Schedule 2I'!J67</f>
        <v>0</v>
      </c>
      <c r="O67" s="313">
        <f>SUMIFS(Adjustments!$G:$G,Adjustments!$H:$H,"2I",Adjustments!$I:$I,'Schedule 2I Adjustments'!$N$12,Adjustments!$J:$J,'Schedule 2I Adjustments'!$A67)</f>
        <v>0</v>
      </c>
      <c r="P67" s="309">
        <f t="shared" si="3"/>
        <v>0</v>
      </c>
      <c r="Q67" s="68">
        <f>IFERROR(N67*'As-Filed Schedule 1'!$E$103,0)</f>
        <v>0</v>
      </c>
      <c r="R67" s="68">
        <f>IFERROR(P67*'Adjusted Schedule 1'!$E$104,0)</f>
        <v>0</v>
      </c>
      <c r="S67" s="68">
        <f t="shared" si="4"/>
        <v>0</v>
      </c>
      <c r="T67" s="310">
        <f t="shared" si="5"/>
        <v>0</v>
      </c>
      <c r="V67" s="120">
        <f>'As-Filed Schedule 2I'!N67</f>
        <v>0</v>
      </c>
      <c r="W67" s="313">
        <f>SUMIFS(Adjustments!$G:$G,Adjustments!$H:$H,"2I",Adjustments!$I:$I,'Schedule 2I Adjustments'!$V$12,Adjustments!$J:$J,'Schedule 2I Adjustments'!$A67)</f>
        <v>0</v>
      </c>
      <c r="X67" s="309">
        <f t="shared" si="6"/>
        <v>0</v>
      </c>
      <c r="Y67" s="120">
        <f>'As-Filed Schedule 2I'!O67</f>
        <v>0</v>
      </c>
      <c r="Z67" s="313">
        <f>SUMIFS(Adjustments!$G:$G,Adjustments!$H:$H,"2I",Adjustments!$I:$I,'Schedule 2I Adjustments'!$Y$12,Adjustments!$J:$J,'Schedule 2I Adjustments'!$A67)</f>
        <v>0</v>
      </c>
      <c r="AA67" s="309">
        <f t="shared" si="7"/>
        <v>0</v>
      </c>
    </row>
    <row r="68" spans="1:27" x14ac:dyDescent="0.35">
      <c r="A68" s="24">
        <v>54</v>
      </c>
      <c r="B68" s="507" t="str">
        <f>IF('As-Filed Schedule 2I'!B68:D68=0,"",'As-Filed Schedule 2I'!B68:D68)</f>
        <v/>
      </c>
      <c r="C68" s="507"/>
      <c r="D68" s="507"/>
      <c r="F68" s="117">
        <f>'As-Filed Schedule 2I'!F68</f>
        <v>0</v>
      </c>
      <c r="G68" s="313">
        <f>SUMIFS(Adjustments!$G:$G,Adjustments!$H:$H,"2I",Adjustments!$I:$I,'Schedule 2I Adjustments'!$F$12,Adjustments!$J:$J,'Schedule 2I Adjustments'!$A68)</f>
        <v>0</v>
      </c>
      <c r="H68" s="309">
        <f t="shared" si="0"/>
        <v>0</v>
      </c>
      <c r="I68" s="68">
        <f>IFERROR(F68*'As-Filed Schedule 1'!$E$103,0)</f>
        <v>0</v>
      </c>
      <c r="J68" s="310">
        <f>IFERROR(H68*'Adjusted Schedule 1'!$E$104,0)</f>
        <v>0</v>
      </c>
      <c r="K68" s="68">
        <f t="shared" si="1"/>
        <v>0</v>
      </c>
      <c r="L68" s="310">
        <f t="shared" si="2"/>
        <v>0</v>
      </c>
      <c r="N68" s="117">
        <f>'As-Filed Schedule 2I'!J68</f>
        <v>0</v>
      </c>
      <c r="O68" s="313">
        <f>SUMIFS(Adjustments!$G:$G,Adjustments!$H:$H,"2I",Adjustments!$I:$I,'Schedule 2I Adjustments'!$N$12,Adjustments!$J:$J,'Schedule 2I Adjustments'!$A68)</f>
        <v>0</v>
      </c>
      <c r="P68" s="309">
        <f t="shared" si="3"/>
        <v>0</v>
      </c>
      <c r="Q68" s="68">
        <f>IFERROR(N68*'As-Filed Schedule 1'!$E$103,0)</f>
        <v>0</v>
      </c>
      <c r="R68" s="68">
        <f>IFERROR(P68*'Adjusted Schedule 1'!$E$104,0)</f>
        <v>0</v>
      </c>
      <c r="S68" s="68">
        <f t="shared" si="4"/>
        <v>0</v>
      </c>
      <c r="T68" s="310">
        <f t="shared" si="5"/>
        <v>0</v>
      </c>
      <c r="V68" s="120">
        <f>'As-Filed Schedule 2I'!N68</f>
        <v>0</v>
      </c>
      <c r="W68" s="313">
        <f>SUMIFS(Adjustments!$G:$G,Adjustments!$H:$H,"2I",Adjustments!$I:$I,'Schedule 2I Adjustments'!$V$12,Adjustments!$J:$J,'Schedule 2I Adjustments'!$A68)</f>
        <v>0</v>
      </c>
      <c r="X68" s="309">
        <f t="shared" si="6"/>
        <v>0</v>
      </c>
      <c r="Y68" s="120">
        <f>'As-Filed Schedule 2I'!O68</f>
        <v>0</v>
      </c>
      <c r="Z68" s="313">
        <f>SUMIFS(Adjustments!$G:$G,Adjustments!$H:$H,"2I",Adjustments!$I:$I,'Schedule 2I Adjustments'!$Y$12,Adjustments!$J:$J,'Schedule 2I Adjustments'!$A68)</f>
        <v>0</v>
      </c>
      <c r="AA68" s="309">
        <f t="shared" si="7"/>
        <v>0</v>
      </c>
    </row>
    <row r="69" spans="1:27" x14ac:dyDescent="0.35">
      <c r="A69" s="24">
        <v>55</v>
      </c>
      <c r="B69" s="507" t="str">
        <f>IF('As-Filed Schedule 2I'!B69:D69=0,"",'As-Filed Schedule 2I'!B69:D69)</f>
        <v/>
      </c>
      <c r="C69" s="507"/>
      <c r="D69" s="507"/>
      <c r="F69" s="117">
        <f>'As-Filed Schedule 2I'!F69</f>
        <v>0</v>
      </c>
      <c r="G69" s="313">
        <f>SUMIFS(Adjustments!$G:$G,Adjustments!$H:$H,"2I",Adjustments!$I:$I,'Schedule 2I Adjustments'!$F$12,Adjustments!$J:$J,'Schedule 2I Adjustments'!$A69)</f>
        <v>0</v>
      </c>
      <c r="H69" s="309">
        <f t="shared" si="0"/>
        <v>0</v>
      </c>
      <c r="I69" s="68">
        <f>IFERROR(F69*'As-Filed Schedule 1'!$E$103,0)</f>
        <v>0</v>
      </c>
      <c r="J69" s="310">
        <f>IFERROR(H69*'Adjusted Schedule 1'!$E$104,0)</f>
        <v>0</v>
      </c>
      <c r="K69" s="68">
        <f t="shared" si="1"/>
        <v>0</v>
      </c>
      <c r="L69" s="310">
        <f t="shared" si="2"/>
        <v>0</v>
      </c>
      <c r="N69" s="117">
        <f>'As-Filed Schedule 2I'!J69</f>
        <v>0</v>
      </c>
      <c r="O69" s="313">
        <f>SUMIFS(Adjustments!$G:$G,Adjustments!$H:$H,"2I",Adjustments!$I:$I,'Schedule 2I Adjustments'!$N$12,Adjustments!$J:$J,'Schedule 2I Adjustments'!$A69)</f>
        <v>0</v>
      </c>
      <c r="P69" s="309">
        <f t="shared" si="3"/>
        <v>0</v>
      </c>
      <c r="Q69" s="68">
        <f>IFERROR(N69*'As-Filed Schedule 1'!$E$103,0)</f>
        <v>0</v>
      </c>
      <c r="R69" s="68">
        <f>IFERROR(P69*'Adjusted Schedule 1'!$E$104,0)</f>
        <v>0</v>
      </c>
      <c r="S69" s="68">
        <f t="shared" si="4"/>
        <v>0</v>
      </c>
      <c r="T69" s="310">
        <f t="shared" si="5"/>
        <v>0</v>
      </c>
      <c r="V69" s="120">
        <f>'As-Filed Schedule 2I'!N69</f>
        <v>0</v>
      </c>
      <c r="W69" s="313">
        <f>SUMIFS(Adjustments!$G:$G,Adjustments!$H:$H,"2I",Adjustments!$I:$I,'Schedule 2I Adjustments'!$V$12,Adjustments!$J:$J,'Schedule 2I Adjustments'!$A69)</f>
        <v>0</v>
      </c>
      <c r="X69" s="309">
        <f t="shared" si="6"/>
        <v>0</v>
      </c>
      <c r="Y69" s="120">
        <f>'As-Filed Schedule 2I'!O69</f>
        <v>0</v>
      </c>
      <c r="Z69" s="313">
        <f>SUMIFS(Adjustments!$G:$G,Adjustments!$H:$H,"2I",Adjustments!$I:$I,'Schedule 2I Adjustments'!$Y$12,Adjustments!$J:$J,'Schedule 2I Adjustments'!$A69)</f>
        <v>0</v>
      </c>
      <c r="AA69" s="309">
        <f t="shared" si="7"/>
        <v>0</v>
      </c>
    </row>
    <row r="70" spans="1:27" x14ac:dyDescent="0.35">
      <c r="A70" s="24">
        <v>56</v>
      </c>
      <c r="B70" s="507" t="str">
        <f>IF('As-Filed Schedule 2I'!B70:D70=0,"",'As-Filed Schedule 2I'!B70:D70)</f>
        <v/>
      </c>
      <c r="C70" s="507"/>
      <c r="D70" s="507"/>
      <c r="F70" s="117">
        <f>'As-Filed Schedule 2I'!F70</f>
        <v>0</v>
      </c>
      <c r="G70" s="313">
        <f>SUMIFS(Adjustments!$G:$G,Adjustments!$H:$H,"2I",Adjustments!$I:$I,'Schedule 2I Adjustments'!$F$12,Adjustments!$J:$J,'Schedule 2I Adjustments'!$A70)</f>
        <v>0</v>
      </c>
      <c r="H70" s="309">
        <f t="shared" si="0"/>
        <v>0</v>
      </c>
      <c r="I70" s="68">
        <f>IFERROR(F70*'As-Filed Schedule 1'!$E$103,0)</f>
        <v>0</v>
      </c>
      <c r="J70" s="310">
        <f>IFERROR(H70*'Adjusted Schedule 1'!$E$104,0)</f>
        <v>0</v>
      </c>
      <c r="K70" s="68">
        <f t="shared" si="1"/>
        <v>0</v>
      </c>
      <c r="L70" s="310">
        <f t="shared" si="2"/>
        <v>0</v>
      </c>
      <c r="N70" s="117">
        <f>'As-Filed Schedule 2I'!J70</f>
        <v>0</v>
      </c>
      <c r="O70" s="313">
        <f>SUMIFS(Adjustments!$G:$G,Adjustments!$H:$H,"2I",Adjustments!$I:$I,'Schedule 2I Adjustments'!$N$12,Adjustments!$J:$J,'Schedule 2I Adjustments'!$A70)</f>
        <v>0</v>
      </c>
      <c r="P70" s="309">
        <f t="shared" si="3"/>
        <v>0</v>
      </c>
      <c r="Q70" s="68">
        <f>IFERROR(N70*'As-Filed Schedule 1'!$E$103,0)</f>
        <v>0</v>
      </c>
      <c r="R70" s="68">
        <f>IFERROR(P70*'Adjusted Schedule 1'!$E$104,0)</f>
        <v>0</v>
      </c>
      <c r="S70" s="68">
        <f t="shared" si="4"/>
        <v>0</v>
      </c>
      <c r="T70" s="310">
        <f t="shared" si="5"/>
        <v>0</v>
      </c>
      <c r="V70" s="120">
        <f>'As-Filed Schedule 2I'!N70</f>
        <v>0</v>
      </c>
      <c r="W70" s="313">
        <f>SUMIFS(Adjustments!$G:$G,Adjustments!$H:$H,"2I",Adjustments!$I:$I,'Schedule 2I Adjustments'!$V$12,Adjustments!$J:$J,'Schedule 2I Adjustments'!$A70)</f>
        <v>0</v>
      </c>
      <c r="X70" s="309">
        <f t="shared" si="6"/>
        <v>0</v>
      </c>
      <c r="Y70" s="120">
        <f>'As-Filed Schedule 2I'!O70</f>
        <v>0</v>
      </c>
      <c r="Z70" s="313">
        <f>SUMIFS(Adjustments!$G:$G,Adjustments!$H:$H,"2I",Adjustments!$I:$I,'Schedule 2I Adjustments'!$Y$12,Adjustments!$J:$J,'Schedule 2I Adjustments'!$A70)</f>
        <v>0</v>
      </c>
      <c r="AA70" s="309">
        <f t="shared" si="7"/>
        <v>0</v>
      </c>
    </row>
    <row r="71" spans="1:27" x14ac:dyDescent="0.35">
      <c r="A71" s="24">
        <v>57</v>
      </c>
      <c r="B71" s="507" t="str">
        <f>IF('As-Filed Schedule 2I'!B71:D71=0,"",'As-Filed Schedule 2I'!B71:D71)</f>
        <v/>
      </c>
      <c r="C71" s="507"/>
      <c r="D71" s="507"/>
      <c r="F71" s="117">
        <f>'As-Filed Schedule 2I'!F71</f>
        <v>0</v>
      </c>
      <c r="G71" s="313">
        <f>SUMIFS(Adjustments!$G:$G,Adjustments!$H:$H,"2I",Adjustments!$I:$I,'Schedule 2I Adjustments'!$F$12,Adjustments!$J:$J,'Schedule 2I Adjustments'!$A71)</f>
        <v>0</v>
      </c>
      <c r="H71" s="309">
        <f t="shared" si="0"/>
        <v>0</v>
      </c>
      <c r="I71" s="68">
        <f>IFERROR(F71*'As-Filed Schedule 1'!$E$103,0)</f>
        <v>0</v>
      </c>
      <c r="J71" s="310">
        <f>IFERROR(H71*'Adjusted Schedule 1'!$E$104,0)</f>
        <v>0</v>
      </c>
      <c r="K71" s="68">
        <f t="shared" si="1"/>
        <v>0</v>
      </c>
      <c r="L71" s="310">
        <f t="shared" si="2"/>
        <v>0</v>
      </c>
      <c r="N71" s="117">
        <f>'As-Filed Schedule 2I'!J71</f>
        <v>0</v>
      </c>
      <c r="O71" s="313">
        <f>SUMIFS(Adjustments!$G:$G,Adjustments!$H:$H,"2I",Adjustments!$I:$I,'Schedule 2I Adjustments'!$N$12,Adjustments!$J:$J,'Schedule 2I Adjustments'!$A71)</f>
        <v>0</v>
      </c>
      <c r="P71" s="309">
        <f t="shared" si="3"/>
        <v>0</v>
      </c>
      <c r="Q71" s="68">
        <f>IFERROR(N71*'As-Filed Schedule 1'!$E$103,0)</f>
        <v>0</v>
      </c>
      <c r="R71" s="68">
        <f>IFERROR(P71*'Adjusted Schedule 1'!$E$104,0)</f>
        <v>0</v>
      </c>
      <c r="S71" s="68">
        <f t="shared" si="4"/>
        <v>0</v>
      </c>
      <c r="T71" s="310">
        <f t="shared" si="5"/>
        <v>0</v>
      </c>
      <c r="V71" s="120">
        <f>'As-Filed Schedule 2I'!N71</f>
        <v>0</v>
      </c>
      <c r="W71" s="313">
        <f>SUMIFS(Adjustments!$G:$G,Adjustments!$H:$H,"2I",Adjustments!$I:$I,'Schedule 2I Adjustments'!$V$12,Adjustments!$J:$J,'Schedule 2I Adjustments'!$A71)</f>
        <v>0</v>
      </c>
      <c r="X71" s="309">
        <f t="shared" si="6"/>
        <v>0</v>
      </c>
      <c r="Y71" s="120">
        <f>'As-Filed Schedule 2I'!O71</f>
        <v>0</v>
      </c>
      <c r="Z71" s="313">
        <f>SUMIFS(Adjustments!$G:$G,Adjustments!$H:$H,"2I",Adjustments!$I:$I,'Schedule 2I Adjustments'!$Y$12,Adjustments!$J:$J,'Schedule 2I Adjustments'!$A71)</f>
        <v>0</v>
      </c>
      <c r="AA71" s="309">
        <f t="shared" si="7"/>
        <v>0</v>
      </c>
    </row>
    <row r="72" spans="1:27" x14ac:dyDescent="0.35">
      <c r="A72" s="24">
        <v>58</v>
      </c>
      <c r="B72" s="507" t="str">
        <f>IF('As-Filed Schedule 2I'!B72:D72=0,"",'As-Filed Schedule 2I'!B72:D72)</f>
        <v/>
      </c>
      <c r="C72" s="507"/>
      <c r="D72" s="507"/>
      <c r="F72" s="117">
        <f>'As-Filed Schedule 2I'!F72</f>
        <v>0</v>
      </c>
      <c r="G72" s="313">
        <f>SUMIFS(Adjustments!$G:$G,Adjustments!$H:$H,"2I",Adjustments!$I:$I,'Schedule 2I Adjustments'!$F$12,Adjustments!$J:$J,'Schedule 2I Adjustments'!$A72)</f>
        <v>0</v>
      </c>
      <c r="H72" s="309">
        <f t="shared" si="0"/>
        <v>0</v>
      </c>
      <c r="I72" s="68">
        <f>IFERROR(F72*'As-Filed Schedule 1'!$E$103,0)</f>
        <v>0</v>
      </c>
      <c r="J72" s="310">
        <f>IFERROR(H72*'Adjusted Schedule 1'!$E$104,0)</f>
        <v>0</v>
      </c>
      <c r="K72" s="68">
        <f t="shared" si="1"/>
        <v>0</v>
      </c>
      <c r="L72" s="310">
        <f t="shared" si="2"/>
        <v>0</v>
      </c>
      <c r="N72" s="117">
        <f>'As-Filed Schedule 2I'!J72</f>
        <v>0</v>
      </c>
      <c r="O72" s="313">
        <f>SUMIFS(Adjustments!$G:$G,Adjustments!$H:$H,"2I",Adjustments!$I:$I,'Schedule 2I Adjustments'!$N$12,Adjustments!$J:$J,'Schedule 2I Adjustments'!$A72)</f>
        <v>0</v>
      </c>
      <c r="P72" s="309">
        <f t="shared" si="3"/>
        <v>0</v>
      </c>
      <c r="Q72" s="68">
        <f>IFERROR(N72*'As-Filed Schedule 1'!$E$103,0)</f>
        <v>0</v>
      </c>
      <c r="R72" s="68">
        <f>IFERROR(P72*'Adjusted Schedule 1'!$E$104,0)</f>
        <v>0</v>
      </c>
      <c r="S72" s="68">
        <f t="shared" si="4"/>
        <v>0</v>
      </c>
      <c r="T72" s="310">
        <f t="shared" si="5"/>
        <v>0</v>
      </c>
      <c r="V72" s="120">
        <f>'As-Filed Schedule 2I'!N72</f>
        <v>0</v>
      </c>
      <c r="W72" s="313">
        <f>SUMIFS(Adjustments!$G:$G,Adjustments!$H:$H,"2I",Adjustments!$I:$I,'Schedule 2I Adjustments'!$V$12,Adjustments!$J:$J,'Schedule 2I Adjustments'!$A72)</f>
        <v>0</v>
      </c>
      <c r="X72" s="309">
        <f t="shared" si="6"/>
        <v>0</v>
      </c>
      <c r="Y72" s="120">
        <f>'As-Filed Schedule 2I'!O72</f>
        <v>0</v>
      </c>
      <c r="Z72" s="313">
        <f>SUMIFS(Adjustments!$G:$G,Adjustments!$H:$H,"2I",Adjustments!$I:$I,'Schedule 2I Adjustments'!$Y$12,Adjustments!$J:$J,'Schedule 2I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844</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825</v>
      </c>
      <c r="C8" s="1"/>
      <c r="F8" s="119" t="str">
        <f>'As-Filed Schedule 2J'!F8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2J'!B15:D15=0,"",'As-Filed Schedule 2J'!B15:D15)</f>
        <v/>
      </c>
      <c r="C15" s="507"/>
      <c r="D15" s="507"/>
      <c r="F15" s="117">
        <f>'As-Filed Schedule 2J'!F15</f>
        <v>0</v>
      </c>
      <c r="G15" s="313">
        <f>SUMIFS(Adjustments!$G:$G,Adjustments!$H:$H,"2J",Adjustments!$I:$I,'Schedule 2J Adjustments'!$F$12,Adjustments!$J:$J,'Schedule 2J Adjustments'!$A15)</f>
        <v>0</v>
      </c>
      <c r="H15" s="309">
        <f>SUM(F15:G15)</f>
        <v>0</v>
      </c>
      <c r="I15" s="68">
        <f>IFERROR(F15*'As-Filed Schedule 1'!$E$103,0)</f>
        <v>0</v>
      </c>
      <c r="J15" s="310">
        <f>IFERROR(H15*'Adjusted Schedule 1'!$E$104,0)</f>
        <v>0</v>
      </c>
      <c r="K15" s="68">
        <f>SUM(F15,I15)</f>
        <v>0</v>
      </c>
      <c r="L15" s="310">
        <f>SUM(H15,J15)</f>
        <v>0</v>
      </c>
      <c r="N15" s="117">
        <f>'As-Filed Schedule 2J'!J15</f>
        <v>0</v>
      </c>
      <c r="O15" s="313">
        <f>SUMIFS(Adjustments!$G:$G,Adjustments!$H:$H,"2J",Adjustments!$I:$I,'Schedule 2J Adjustments'!$N$12,Adjustments!$J:$J,'Schedule 2J Adjustments'!$A15)</f>
        <v>0</v>
      </c>
      <c r="P15" s="309">
        <f>SUM(N15:O15)</f>
        <v>0</v>
      </c>
      <c r="Q15" s="68">
        <f>IFERROR(N15*'As-Filed Schedule 1'!$E$103,0)</f>
        <v>0</v>
      </c>
      <c r="R15" s="68">
        <f>IFERROR(P15*'Adjusted Schedule 1'!$E$104,0)</f>
        <v>0</v>
      </c>
      <c r="S15" s="68">
        <f>SUM(N15,Q15)</f>
        <v>0</v>
      </c>
      <c r="T15" s="310">
        <f>SUM(P15,R15)</f>
        <v>0</v>
      </c>
      <c r="V15" s="120">
        <f>'As-Filed Schedule 2J'!N15</f>
        <v>0</v>
      </c>
      <c r="W15" s="313">
        <f>SUMIFS(Adjustments!$G:$G,Adjustments!$H:$H,"2J",Adjustments!$I:$I,'Schedule 2J Adjustments'!$V$12,Adjustments!$J:$J,'Schedule 2J Adjustments'!$A15)</f>
        <v>0</v>
      </c>
      <c r="X15" s="309">
        <f>SUM(V15:W15)</f>
        <v>0</v>
      </c>
      <c r="Y15" s="120">
        <f>'As-Filed Schedule 2J'!O15</f>
        <v>0</v>
      </c>
      <c r="Z15" s="313">
        <f>SUMIFS(Adjustments!$G:$G,Adjustments!$H:$H,"2J",Adjustments!$I:$I,'Schedule 2J Adjustments'!$Y$12,Adjustments!$J:$J,'Schedule 2J Adjustments'!$A15)</f>
        <v>0</v>
      </c>
      <c r="AA15" s="309">
        <f>SUM(Y15:Z15)</f>
        <v>0</v>
      </c>
    </row>
    <row r="16" spans="1:27" x14ac:dyDescent="0.35">
      <c r="A16" s="24">
        <v>2</v>
      </c>
      <c r="B16" s="507" t="str">
        <f>IF('As-Filed Schedule 2J'!B16:D16=0,"",'As-Filed Schedule 2J'!B16:D16)</f>
        <v/>
      </c>
      <c r="C16" s="507"/>
      <c r="D16" s="507"/>
      <c r="F16" s="117">
        <f>'As-Filed Schedule 2J'!F16</f>
        <v>0</v>
      </c>
      <c r="G16" s="313">
        <f>SUMIFS(Adjustments!$G:$G,Adjustments!$H:$H,"2J",Adjustments!$I:$I,'Schedule 2J Adjustments'!$F$12,Adjustments!$J:$J,'Schedule 2J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2J'!J16</f>
        <v>0</v>
      </c>
      <c r="O16" s="313">
        <f>SUMIFS(Adjustments!$G:$G,Adjustments!$H:$H,"2J",Adjustments!$I:$I,'Schedule 2J Adjustments'!$N$12,Adjustments!$J:$J,'Schedule 2J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2J'!N16</f>
        <v>0</v>
      </c>
      <c r="W16" s="313">
        <f>SUMIFS(Adjustments!$G:$G,Adjustments!$H:$H,"2J",Adjustments!$I:$I,'Schedule 2J Adjustments'!$V$12,Adjustments!$J:$J,'Schedule 2J Adjustments'!$A16)</f>
        <v>0</v>
      </c>
      <c r="X16" s="309">
        <f t="shared" ref="X16:X72" si="6">SUM(V16:W16)</f>
        <v>0</v>
      </c>
      <c r="Y16" s="120">
        <f>'As-Filed Schedule 2J'!O16</f>
        <v>0</v>
      </c>
      <c r="Z16" s="313">
        <f>SUMIFS(Adjustments!$G:$G,Adjustments!$H:$H,"2J",Adjustments!$I:$I,'Schedule 2J Adjustments'!$Y$12,Adjustments!$J:$J,'Schedule 2J Adjustments'!$A16)</f>
        <v>0</v>
      </c>
      <c r="AA16" s="309">
        <f t="shared" ref="AA16:AA72" si="7">SUM(Y16:Z16)</f>
        <v>0</v>
      </c>
    </row>
    <row r="17" spans="1:27" x14ac:dyDescent="0.35">
      <c r="A17" s="24">
        <v>3</v>
      </c>
      <c r="B17" s="507" t="str">
        <f>IF('As-Filed Schedule 2J'!B17:D17=0,"",'As-Filed Schedule 2J'!B17:D17)</f>
        <v/>
      </c>
      <c r="C17" s="507"/>
      <c r="D17" s="507"/>
      <c r="F17" s="117">
        <f>'As-Filed Schedule 2J'!F17</f>
        <v>0</v>
      </c>
      <c r="G17" s="313">
        <f>SUMIFS(Adjustments!$G:$G,Adjustments!$H:$H,"2J",Adjustments!$I:$I,'Schedule 2J Adjustments'!$F$12,Adjustments!$J:$J,'Schedule 2J Adjustments'!$A17)</f>
        <v>0</v>
      </c>
      <c r="H17" s="309">
        <f t="shared" si="0"/>
        <v>0</v>
      </c>
      <c r="I17" s="68">
        <f>IFERROR(F17*'As-Filed Schedule 1'!$E$103,0)</f>
        <v>0</v>
      </c>
      <c r="J17" s="310">
        <f>IFERROR(H17*'Adjusted Schedule 1'!$E$104,0)</f>
        <v>0</v>
      </c>
      <c r="K17" s="68">
        <f t="shared" si="1"/>
        <v>0</v>
      </c>
      <c r="L17" s="310">
        <f t="shared" si="2"/>
        <v>0</v>
      </c>
      <c r="N17" s="117">
        <f>'As-Filed Schedule 2J'!J17</f>
        <v>0</v>
      </c>
      <c r="O17" s="313">
        <f>SUMIFS(Adjustments!$G:$G,Adjustments!$H:$H,"2J",Adjustments!$I:$I,'Schedule 2J Adjustments'!$N$12,Adjustments!$J:$J,'Schedule 2J Adjustments'!$A17)</f>
        <v>0</v>
      </c>
      <c r="P17" s="309">
        <f t="shared" si="3"/>
        <v>0</v>
      </c>
      <c r="Q17" s="68">
        <f>IFERROR(N17*'As-Filed Schedule 1'!$E$103,0)</f>
        <v>0</v>
      </c>
      <c r="R17" s="68">
        <f>IFERROR(P17*'Adjusted Schedule 1'!$E$104,0)</f>
        <v>0</v>
      </c>
      <c r="S17" s="68">
        <f t="shared" si="4"/>
        <v>0</v>
      </c>
      <c r="T17" s="310">
        <f t="shared" si="5"/>
        <v>0</v>
      </c>
      <c r="V17" s="120">
        <f>'As-Filed Schedule 2J'!N17</f>
        <v>0</v>
      </c>
      <c r="W17" s="313">
        <f>SUMIFS(Adjustments!$G:$G,Adjustments!$H:$H,"2J",Adjustments!$I:$I,'Schedule 2J Adjustments'!$V$12,Adjustments!$J:$J,'Schedule 2J Adjustments'!$A17)</f>
        <v>0</v>
      </c>
      <c r="X17" s="309">
        <f t="shared" si="6"/>
        <v>0</v>
      </c>
      <c r="Y17" s="120">
        <f>'As-Filed Schedule 2J'!O17</f>
        <v>0</v>
      </c>
      <c r="Z17" s="313">
        <f>SUMIFS(Adjustments!$G:$G,Adjustments!$H:$H,"2J",Adjustments!$I:$I,'Schedule 2J Adjustments'!$Y$12,Adjustments!$J:$J,'Schedule 2J Adjustments'!$A17)</f>
        <v>0</v>
      </c>
      <c r="AA17" s="309">
        <f t="shared" si="7"/>
        <v>0</v>
      </c>
    </row>
    <row r="18" spans="1:27" x14ac:dyDescent="0.35">
      <c r="A18" s="24">
        <v>4</v>
      </c>
      <c r="B18" s="507" t="str">
        <f>IF('As-Filed Schedule 2J'!B18:D18=0,"",'As-Filed Schedule 2J'!B18:D18)</f>
        <v/>
      </c>
      <c r="C18" s="507"/>
      <c r="D18" s="507"/>
      <c r="F18" s="117">
        <f>'As-Filed Schedule 2J'!F18</f>
        <v>0</v>
      </c>
      <c r="G18" s="313">
        <f>SUMIFS(Adjustments!$G:$G,Adjustments!$H:$H,"2J",Adjustments!$I:$I,'Schedule 2J Adjustments'!$F$12,Adjustments!$J:$J,'Schedule 2J Adjustments'!$A18)</f>
        <v>0</v>
      </c>
      <c r="H18" s="309">
        <f t="shared" si="0"/>
        <v>0</v>
      </c>
      <c r="I18" s="68">
        <f>IFERROR(F18*'As-Filed Schedule 1'!$E$103,0)</f>
        <v>0</v>
      </c>
      <c r="J18" s="310">
        <f>IFERROR(H18*'Adjusted Schedule 1'!$E$104,0)</f>
        <v>0</v>
      </c>
      <c r="K18" s="68">
        <f>SUM(F18,I18)</f>
        <v>0</v>
      </c>
      <c r="L18" s="310">
        <f>SUM(H18,J18)</f>
        <v>0</v>
      </c>
      <c r="N18" s="117">
        <f>'As-Filed Schedule 2J'!J18</f>
        <v>0</v>
      </c>
      <c r="O18" s="313">
        <f>SUMIFS(Adjustments!$G:$G,Adjustments!$H:$H,"2J",Adjustments!$I:$I,'Schedule 2J Adjustments'!$N$12,Adjustments!$J:$J,'Schedule 2J Adjustments'!$A18)</f>
        <v>0</v>
      </c>
      <c r="P18" s="309">
        <f t="shared" si="3"/>
        <v>0</v>
      </c>
      <c r="Q18" s="68">
        <f>IFERROR(N18*'As-Filed Schedule 1'!$E$103,0)</f>
        <v>0</v>
      </c>
      <c r="R18" s="68">
        <f>IFERROR(P18*'Adjusted Schedule 1'!$E$104,0)</f>
        <v>0</v>
      </c>
      <c r="S18" s="68">
        <f t="shared" si="4"/>
        <v>0</v>
      </c>
      <c r="T18" s="310">
        <f t="shared" si="5"/>
        <v>0</v>
      </c>
      <c r="V18" s="120">
        <f>'As-Filed Schedule 2J'!N18</f>
        <v>0</v>
      </c>
      <c r="W18" s="313">
        <f>SUMIFS(Adjustments!$G:$G,Adjustments!$H:$H,"2J",Adjustments!$I:$I,'Schedule 2J Adjustments'!$V$12,Adjustments!$J:$J,'Schedule 2J Adjustments'!$A18)</f>
        <v>0</v>
      </c>
      <c r="X18" s="309">
        <f t="shared" si="6"/>
        <v>0</v>
      </c>
      <c r="Y18" s="120">
        <f>'As-Filed Schedule 2J'!O18</f>
        <v>0</v>
      </c>
      <c r="Z18" s="313">
        <f>SUMIFS(Adjustments!$G:$G,Adjustments!$H:$H,"2J",Adjustments!$I:$I,'Schedule 2J Adjustments'!$Y$12,Adjustments!$J:$J,'Schedule 2J Adjustments'!$A18)</f>
        <v>0</v>
      </c>
      <c r="AA18" s="309">
        <f t="shared" si="7"/>
        <v>0</v>
      </c>
    </row>
    <row r="19" spans="1:27" x14ac:dyDescent="0.35">
      <c r="A19" s="24">
        <v>5</v>
      </c>
      <c r="B19" s="507" t="str">
        <f>IF('As-Filed Schedule 2J'!B19:D19=0,"",'As-Filed Schedule 2J'!B19:D19)</f>
        <v/>
      </c>
      <c r="C19" s="507"/>
      <c r="D19" s="507"/>
      <c r="F19" s="117">
        <f>'As-Filed Schedule 2J'!F19</f>
        <v>0</v>
      </c>
      <c r="G19" s="313">
        <f>SUMIFS(Adjustments!$G:$G,Adjustments!$H:$H,"2J",Adjustments!$I:$I,'Schedule 2J Adjustments'!$F$12,Adjustments!$J:$J,'Schedule 2J Adjustments'!$A19)</f>
        <v>0</v>
      </c>
      <c r="H19" s="309">
        <f t="shared" si="0"/>
        <v>0</v>
      </c>
      <c r="I19" s="68">
        <f>IFERROR(F19*'As-Filed Schedule 1'!$E$103,0)</f>
        <v>0</v>
      </c>
      <c r="J19" s="310">
        <f>IFERROR(H19*'Adjusted Schedule 1'!$E$104,0)</f>
        <v>0</v>
      </c>
      <c r="K19" s="68">
        <f t="shared" si="1"/>
        <v>0</v>
      </c>
      <c r="L19" s="310">
        <f>SUM(H19,J19)</f>
        <v>0</v>
      </c>
      <c r="N19" s="117">
        <f>'As-Filed Schedule 2J'!J19</f>
        <v>0</v>
      </c>
      <c r="O19" s="313">
        <f>SUMIFS(Adjustments!$G:$G,Adjustments!$H:$H,"2J",Adjustments!$I:$I,'Schedule 2J Adjustments'!$N$12,Adjustments!$J:$J,'Schedule 2J Adjustments'!$A19)</f>
        <v>0</v>
      </c>
      <c r="P19" s="309">
        <f t="shared" si="3"/>
        <v>0</v>
      </c>
      <c r="Q19" s="68">
        <f>IFERROR(N19*'As-Filed Schedule 1'!$E$103,0)</f>
        <v>0</v>
      </c>
      <c r="R19" s="68">
        <f>IFERROR(P19*'Adjusted Schedule 1'!$E$104,0)</f>
        <v>0</v>
      </c>
      <c r="S19" s="68">
        <f t="shared" si="4"/>
        <v>0</v>
      </c>
      <c r="T19" s="310">
        <f t="shared" si="5"/>
        <v>0</v>
      </c>
      <c r="V19" s="120">
        <f>'As-Filed Schedule 2J'!N19</f>
        <v>0</v>
      </c>
      <c r="W19" s="313">
        <f>SUMIFS(Adjustments!$G:$G,Adjustments!$H:$H,"2J",Adjustments!$I:$I,'Schedule 2J Adjustments'!$V$12,Adjustments!$J:$J,'Schedule 2J Adjustments'!$A19)</f>
        <v>0</v>
      </c>
      <c r="X19" s="309">
        <f t="shared" si="6"/>
        <v>0</v>
      </c>
      <c r="Y19" s="120">
        <f>'As-Filed Schedule 2J'!O19</f>
        <v>0</v>
      </c>
      <c r="Z19" s="313">
        <f>SUMIFS(Adjustments!$G:$G,Adjustments!$H:$H,"2J",Adjustments!$I:$I,'Schedule 2J Adjustments'!$Y$12,Adjustments!$J:$J,'Schedule 2J Adjustments'!$A19)</f>
        <v>0</v>
      </c>
      <c r="AA19" s="309">
        <f t="shared" si="7"/>
        <v>0</v>
      </c>
    </row>
    <row r="20" spans="1:27" x14ac:dyDescent="0.35">
      <c r="A20" s="24">
        <v>6</v>
      </c>
      <c r="B20" s="507" t="str">
        <f>IF('As-Filed Schedule 2J'!B20:D20=0,"",'As-Filed Schedule 2J'!B20:D20)</f>
        <v/>
      </c>
      <c r="C20" s="507"/>
      <c r="D20" s="507"/>
      <c r="F20" s="117">
        <f>'As-Filed Schedule 2J'!F20</f>
        <v>0</v>
      </c>
      <c r="G20" s="313">
        <f>SUMIFS(Adjustments!$G:$G,Adjustments!$H:$H,"2J",Adjustments!$I:$I,'Schedule 2J Adjustments'!$F$12,Adjustments!$J:$J,'Schedule 2J Adjustments'!$A20)</f>
        <v>0</v>
      </c>
      <c r="H20" s="309">
        <f t="shared" si="0"/>
        <v>0</v>
      </c>
      <c r="I20" s="68">
        <f>IFERROR(F20*'As-Filed Schedule 1'!$E$103,0)</f>
        <v>0</v>
      </c>
      <c r="J20" s="310">
        <f>IFERROR(H20*'Adjusted Schedule 1'!$E$104,0)</f>
        <v>0</v>
      </c>
      <c r="K20" s="68">
        <f>SUM(F20,I20)</f>
        <v>0</v>
      </c>
      <c r="L20" s="310">
        <f t="shared" si="2"/>
        <v>0</v>
      </c>
      <c r="N20" s="117">
        <f>'As-Filed Schedule 2J'!J20</f>
        <v>0</v>
      </c>
      <c r="O20" s="313">
        <f>SUMIFS(Adjustments!$G:$G,Adjustments!$H:$H,"2J",Adjustments!$I:$I,'Schedule 2J Adjustments'!$N$12,Adjustments!$J:$J,'Schedule 2J Adjustments'!$A20)</f>
        <v>0</v>
      </c>
      <c r="P20" s="309">
        <f t="shared" si="3"/>
        <v>0</v>
      </c>
      <c r="Q20" s="68">
        <f>IFERROR(N20*'As-Filed Schedule 1'!$E$103,0)</f>
        <v>0</v>
      </c>
      <c r="R20" s="68">
        <f>IFERROR(P20*'Adjusted Schedule 1'!$E$104,0)</f>
        <v>0</v>
      </c>
      <c r="S20" s="68">
        <f t="shared" si="4"/>
        <v>0</v>
      </c>
      <c r="T20" s="310">
        <f t="shared" si="5"/>
        <v>0</v>
      </c>
      <c r="V20" s="120">
        <f>'As-Filed Schedule 2J'!N20</f>
        <v>0</v>
      </c>
      <c r="W20" s="313">
        <f>SUMIFS(Adjustments!$G:$G,Adjustments!$H:$H,"2J",Adjustments!$I:$I,'Schedule 2J Adjustments'!$V$12,Adjustments!$J:$J,'Schedule 2J Adjustments'!$A20)</f>
        <v>0</v>
      </c>
      <c r="X20" s="309">
        <f t="shared" si="6"/>
        <v>0</v>
      </c>
      <c r="Y20" s="120">
        <f>'As-Filed Schedule 2J'!O20</f>
        <v>0</v>
      </c>
      <c r="Z20" s="313">
        <f>SUMIFS(Adjustments!$G:$G,Adjustments!$H:$H,"2J",Adjustments!$I:$I,'Schedule 2J Adjustments'!$Y$12,Adjustments!$J:$J,'Schedule 2J Adjustments'!$A20)</f>
        <v>0</v>
      </c>
      <c r="AA20" s="309">
        <f t="shared" si="7"/>
        <v>0</v>
      </c>
    </row>
    <row r="21" spans="1:27" x14ac:dyDescent="0.35">
      <c r="A21" s="24">
        <v>7</v>
      </c>
      <c r="B21" s="507" t="str">
        <f>IF('As-Filed Schedule 2J'!B21:D21=0,"",'As-Filed Schedule 2J'!B21:D21)</f>
        <v/>
      </c>
      <c r="C21" s="507"/>
      <c r="D21" s="507"/>
      <c r="F21" s="117">
        <f>'As-Filed Schedule 2J'!F21</f>
        <v>0</v>
      </c>
      <c r="G21" s="313">
        <f>SUMIFS(Adjustments!$G:$G,Adjustments!$H:$H,"2J",Adjustments!$I:$I,'Schedule 2J Adjustments'!$F$12,Adjustments!$J:$J,'Schedule 2J Adjustments'!$A21)</f>
        <v>0</v>
      </c>
      <c r="H21" s="309">
        <f t="shared" si="0"/>
        <v>0</v>
      </c>
      <c r="I21" s="68">
        <f>IFERROR(F21*'As-Filed Schedule 1'!$E$103,0)</f>
        <v>0</v>
      </c>
      <c r="J21" s="310">
        <f>IFERROR(H21*'Adjusted Schedule 1'!$E$104,0)</f>
        <v>0</v>
      </c>
      <c r="K21" s="68">
        <f t="shared" si="1"/>
        <v>0</v>
      </c>
      <c r="L21" s="310">
        <f t="shared" si="2"/>
        <v>0</v>
      </c>
      <c r="N21" s="117">
        <f>'As-Filed Schedule 2J'!J21</f>
        <v>0</v>
      </c>
      <c r="O21" s="313">
        <f>SUMIFS(Adjustments!$G:$G,Adjustments!$H:$H,"2J",Adjustments!$I:$I,'Schedule 2J Adjustments'!$N$12,Adjustments!$J:$J,'Schedule 2J Adjustments'!$A21)</f>
        <v>0</v>
      </c>
      <c r="P21" s="309">
        <f t="shared" si="3"/>
        <v>0</v>
      </c>
      <c r="Q21" s="68">
        <f>IFERROR(N21*'As-Filed Schedule 1'!$E$103,0)</f>
        <v>0</v>
      </c>
      <c r="R21" s="68">
        <f>IFERROR(P21*'Adjusted Schedule 1'!$E$104,0)</f>
        <v>0</v>
      </c>
      <c r="S21" s="68">
        <f>SUM(N21,Q21)</f>
        <v>0</v>
      </c>
      <c r="T21" s="310">
        <f>SUM(P21,R21)</f>
        <v>0</v>
      </c>
      <c r="V21" s="120">
        <f>'As-Filed Schedule 2J'!N21</f>
        <v>0</v>
      </c>
      <c r="W21" s="313">
        <f>SUMIFS(Adjustments!$G:$G,Adjustments!$H:$H,"2J",Adjustments!$I:$I,'Schedule 2J Adjustments'!$V$12,Adjustments!$J:$J,'Schedule 2J Adjustments'!$A21)</f>
        <v>0</v>
      </c>
      <c r="X21" s="309">
        <f t="shared" si="6"/>
        <v>0</v>
      </c>
      <c r="Y21" s="120">
        <f>'As-Filed Schedule 2J'!O21</f>
        <v>0</v>
      </c>
      <c r="Z21" s="313">
        <f>SUMIFS(Adjustments!$G:$G,Adjustments!$H:$H,"2J",Adjustments!$I:$I,'Schedule 2J Adjustments'!$Y$12,Adjustments!$J:$J,'Schedule 2J Adjustments'!$A21)</f>
        <v>0</v>
      </c>
      <c r="AA21" s="309">
        <f t="shared" si="7"/>
        <v>0</v>
      </c>
    </row>
    <row r="22" spans="1:27" x14ac:dyDescent="0.35">
      <c r="A22" s="24">
        <v>8</v>
      </c>
      <c r="B22" s="507" t="str">
        <f>IF('As-Filed Schedule 2J'!B22:D22=0,"",'As-Filed Schedule 2J'!B22:D22)</f>
        <v/>
      </c>
      <c r="C22" s="507"/>
      <c r="D22" s="507"/>
      <c r="F22" s="117">
        <f>'As-Filed Schedule 2J'!F22</f>
        <v>0</v>
      </c>
      <c r="G22" s="313">
        <f>SUMIFS(Adjustments!$G:$G,Adjustments!$H:$H,"2J",Adjustments!$I:$I,'Schedule 2J Adjustments'!$F$12,Adjustments!$J:$J,'Schedule 2J Adjustments'!$A22)</f>
        <v>0</v>
      </c>
      <c r="H22" s="309">
        <f t="shared" si="0"/>
        <v>0</v>
      </c>
      <c r="I22" s="68">
        <f>IFERROR(F22*'As-Filed Schedule 1'!$E$103,0)</f>
        <v>0</v>
      </c>
      <c r="J22" s="310">
        <f>IFERROR(H22*'Adjusted Schedule 1'!$E$104,0)</f>
        <v>0</v>
      </c>
      <c r="K22" s="68">
        <f t="shared" si="1"/>
        <v>0</v>
      </c>
      <c r="L22" s="310">
        <f t="shared" si="2"/>
        <v>0</v>
      </c>
      <c r="N22" s="117">
        <f>'As-Filed Schedule 2J'!J22</f>
        <v>0</v>
      </c>
      <c r="O22" s="313">
        <f>SUMIFS(Adjustments!$G:$G,Adjustments!$H:$H,"2J",Adjustments!$I:$I,'Schedule 2J Adjustments'!$N$12,Adjustments!$J:$J,'Schedule 2J Adjustments'!$A22)</f>
        <v>0</v>
      </c>
      <c r="P22" s="309">
        <f t="shared" si="3"/>
        <v>0</v>
      </c>
      <c r="Q22" s="68">
        <f>IFERROR(N22*'As-Filed Schedule 1'!$E$103,0)</f>
        <v>0</v>
      </c>
      <c r="R22" s="68">
        <f>IFERROR(P22*'Adjusted Schedule 1'!$E$104,0)</f>
        <v>0</v>
      </c>
      <c r="S22" s="68">
        <f t="shared" si="4"/>
        <v>0</v>
      </c>
      <c r="T22" s="310">
        <f t="shared" si="5"/>
        <v>0</v>
      </c>
      <c r="V22" s="120">
        <f>'As-Filed Schedule 2J'!N22</f>
        <v>0</v>
      </c>
      <c r="W22" s="313">
        <f>SUMIFS(Adjustments!$G:$G,Adjustments!$H:$H,"2J",Adjustments!$I:$I,'Schedule 2J Adjustments'!$V$12,Adjustments!$J:$J,'Schedule 2J Adjustments'!$A22)</f>
        <v>0</v>
      </c>
      <c r="X22" s="309">
        <f t="shared" si="6"/>
        <v>0</v>
      </c>
      <c r="Y22" s="120">
        <f>'As-Filed Schedule 2J'!O22</f>
        <v>0</v>
      </c>
      <c r="Z22" s="313">
        <f>SUMIFS(Adjustments!$G:$G,Adjustments!$H:$H,"2J",Adjustments!$I:$I,'Schedule 2J Adjustments'!$Y$12,Adjustments!$J:$J,'Schedule 2J Adjustments'!$A22)</f>
        <v>0</v>
      </c>
      <c r="AA22" s="309">
        <f t="shared" si="7"/>
        <v>0</v>
      </c>
    </row>
    <row r="23" spans="1:27" x14ac:dyDescent="0.35">
      <c r="A23" s="24">
        <v>9</v>
      </c>
      <c r="B23" s="507" t="str">
        <f>IF('As-Filed Schedule 2J'!B23:D23=0,"",'As-Filed Schedule 2J'!B23:D23)</f>
        <v/>
      </c>
      <c r="C23" s="507"/>
      <c r="D23" s="507"/>
      <c r="F23" s="117">
        <f>'As-Filed Schedule 2J'!F23</f>
        <v>0</v>
      </c>
      <c r="G23" s="313">
        <f>SUMIFS(Adjustments!$G:$G,Adjustments!$H:$H,"2J",Adjustments!$I:$I,'Schedule 2J Adjustments'!$F$12,Adjustments!$J:$J,'Schedule 2J Adjustments'!$A23)</f>
        <v>0</v>
      </c>
      <c r="H23" s="309">
        <f t="shared" si="0"/>
        <v>0</v>
      </c>
      <c r="I23" s="68">
        <f>IFERROR(F23*'As-Filed Schedule 1'!$E$103,0)</f>
        <v>0</v>
      </c>
      <c r="J23" s="310">
        <f>IFERROR(H23*'Adjusted Schedule 1'!$E$104,0)</f>
        <v>0</v>
      </c>
      <c r="K23" s="68">
        <f t="shared" si="1"/>
        <v>0</v>
      </c>
      <c r="L23" s="310">
        <f t="shared" si="2"/>
        <v>0</v>
      </c>
      <c r="N23" s="117">
        <f>'As-Filed Schedule 2J'!J23</f>
        <v>0</v>
      </c>
      <c r="O23" s="313">
        <f>SUMIFS(Adjustments!$G:$G,Adjustments!$H:$H,"2J",Adjustments!$I:$I,'Schedule 2J Adjustments'!$N$12,Adjustments!$J:$J,'Schedule 2J Adjustments'!$A23)</f>
        <v>0</v>
      </c>
      <c r="P23" s="309">
        <f t="shared" si="3"/>
        <v>0</v>
      </c>
      <c r="Q23" s="68">
        <f>IFERROR(N23*'As-Filed Schedule 1'!$E$103,0)</f>
        <v>0</v>
      </c>
      <c r="R23" s="68">
        <f>IFERROR(P23*'Adjusted Schedule 1'!$E$104,0)</f>
        <v>0</v>
      </c>
      <c r="S23" s="68">
        <f t="shared" si="4"/>
        <v>0</v>
      </c>
      <c r="T23" s="310">
        <f t="shared" si="5"/>
        <v>0</v>
      </c>
      <c r="V23" s="120">
        <f>'As-Filed Schedule 2J'!N23</f>
        <v>0</v>
      </c>
      <c r="W23" s="313">
        <f>SUMIFS(Adjustments!$G:$G,Adjustments!$H:$H,"2J",Adjustments!$I:$I,'Schedule 2J Adjustments'!$V$12,Adjustments!$J:$J,'Schedule 2J Adjustments'!$A23)</f>
        <v>0</v>
      </c>
      <c r="X23" s="309">
        <f t="shared" si="6"/>
        <v>0</v>
      </c>
      <c r="Y23" s="120">
        <f>'As-Filed Schedule 2J'!O23</f>
        <v>0</v>
      </c>
      <c r="Z23" s="313">
        <f>SUMIFS(Adjustments!$G:$G,Adjustments!$H:$H,"2J",Adjustments!$I:$I,'Schedule 2J Adjustments'!$Y$12,Adjustments!$J:$J,'Schedule 2J Adjustments'!$A23)</f>
        <v>0</v>
      </c>
      <c r="AA23" s="309">
        <f t="shared" si="7"/>
        <v>0</v>
      </c>
    </row>
    <row r="24" spans="1:27" x14ac:dyDescent="0.35">
      <c r="A24" s="24">
        <v>10</v>
      </c>
      <c r="B24" s="507" t="str">
        <f>IF('As-Filed Schedule 2J'!B24:D24=0,"",'As-Filed Schedule 2J'!B24:D24)</f>
        <v/>
      </c>
      <c r="C24" s="507"/>
      <c r="D24" s="507"/>
      <c r="F24" s="117">
        <f>'As-Filed Schedule 2J'!F24</f>
        <v>0</v>
      </c>
      <c r="G24" s="313">
        <f>SUMIFS(Adjustments!$G:$G,Adjustments!$H:$H,"2J",Adjustments!$I:$I,'Schedule 2J Adjustments'!$F$12,Adjustments!$J:$J,'Schedule 2J Adjustments'!$A24)</f>
        <v>0</v>
      </c>
      <c r="H24" s="309">
        <f t="shared" si="0"/>
        <v>0</v>
      </c>
      <c r="I24" s="68">
        <f>IFERROR(F24*'As-Filed Schedule 1'!$E$103,0)</f>
        <v>0</v>
      </c>
      <c r="J24" s="310">
        <f>IFERROR(H24*'Adjusted Schedule 1'!$E$104,0)</f>
        <v>0</v>
      </c>
      <c r="K24" s="68">
        <f t="shared" si="1"/>
        <v>0</v>
      </c>
      <c r="L24" s="310">
        <f t="shared" si="2"/>
        <v>0</v>
      </c>
      <c r="N24" s="117">
        <f>'As-Filed Schedule 2J'!J24</f>
        <v>0</v>
      </c>
      <c r="O24" s="313">
        <f>SUMIFS(Adjustments!$G:$G,Adjustments!$H:$H,"2J",Adjustments!$I:$I,'Schedule 2J Adjustments'!$N$12,Adjustments!$J:$J,'Schedule 2J Adjustments'!$A24)</f>
        <v>0</v>
      </c>
      <c r="P24" s="309">
        <f t="shared" si="3"/>
        <v>0</v>
      </c>
      <c r="Q24" s="68">
        <f>IFERROR(N24*'As-Filed Schedule 1'!$E$103,0)</f>
        <v>0</v>
      </c>
      <c r="R24" s="68">
        <f>IFERROR(P24*'Adjusted Schedule 1'!$E$104,0)</f>
        <v>0</v>
      </c>
      <c r="S24" s="68">
        <f t="shared" si="4"/>
        <v>0</v>
      </c>
      <c r="T24" s="310">
        <f t="shared" si="5"/>
        <v>0</v>
      </c>
      <c r="V24" s="120">
        <f>'As-Filed Schedule 2J'!N24</f>
        <v>0</v>
      </c>
      <c r="W24" s="313">
        <f>SUMIFS(Adjustments!$G:$G,Adjustments!$H:$H,"2J",Adjustments!$I:$I,'Schedule 2J Adjustments'!$V$12,Adjustments!$J:$J,'Schedule 2J Adjustments'!$A24)</f>
        <v>0</v>
      </c>
      <c r="X24" s="309">
        <f t="shared" si="6"/>
        <v>0</v>
      </c>
      <c r="Y24" s="120">
        <f>'As-Filed Schedule 2J'!O24</f>
        <v>0</v>
      </c>
      <c r="Z24" s="313">
        <f>SUMIFS(Adjustments!$G:$G,Adjustments!$H:$H,"2J",Adjustments!$I:$I,'Schedule 2J Adjustments'!$Y$12,Adjustments!$J:$J,'Schedule 2J Adjustments'!$A24)</f>
        <v>0</v>
      </c>
      <c r="AA24" s="309">
        <f t="shared" si="7"/>
        <v>0</v>
      </c>
    </row>
    <row r="25" spans="1:27" x14ac:dyDescent="0.35">
      <c r="A25" s="24">
        <v>11</v>
      </c>
      <c r="B25" s="507" t="str">
        <f>IF('As-Filed Schedule 2J'!B25:D25=0,"",'As-Filed Schedule 2J'!B25:D25)</f>
        <v/>
      </c>
      <c r="C25" s="507"/>
      <c r="D25" s="507"/>
      <c r="F25" s="117">
        <f>'As-Filed Schedule 2J'!F25</f>
        <v>0</v>
      </c>
      <c r="G25" s="313">
        <f>SUMIFS(Adjustments!$G:$G,Adjustments!$H:$H,"2J",Adjustments!$I:$I,'Schedule 2J Adjustments'!$F$12,Adjustments!$J:$J,'Schedule 2J Adjustments'!$A25)</f>
        <v>0</v>
      </c>
      <c r="H25" s="309">
        <f t="shared" si="0"/>
        <v>0</v>
      </c>
      <c r="I25" s="68">
        <f>IFERROR(F25*'As-Filed Schedule 1'!$E$103,0)</f>
        <v>0</v>
      </c>
      <c r="J25" s="310">
        <f>IFERROR(H25*'Adjusted Schedule 1'!$E$104,0)</f>
        <v>0</v>
      </c>
      <c r="K25" s="68">
        <f t="shared" si="1"/>
        <v>0</v>
      </c>
      <c r="L25" s="310">
        <f t="shared" si="2"/>
        <v>0</v>
      </c>
      <c r="N25" s="117">
        <f>'As-Filed Schedule 2J'!J25</f>
        <v>0</v>
      </c>
      <c r="O25" s="313">
        <f>SUMIFS(Adjustments!$G:$G,Adjustments!$H:$H,"2J",Adjustments!$I:$I,'Schedule 2J Adjustments'!$N$12,Adjustments!$J:$J,'Schedule 2J Adjustments'!$A25)</f>
        <v>0</v>
      </c>
      <c r="P25" s="309">
        <f t="shared" si="3"/>
        <v>0</v>
      </c>
      <c r="Q25" s="68">
        <f>IFERROR(N25*'As-Filed Schedule 1'!$E$103,0)</f>
        <v>0</v>
      </c>
      <c r="R25" s="68">
        <f>IFERROR(P25*'Adjusted Schedule 1'!$E$104,0)</f>
        <v>0</v>
      </c>
      <c r="S25" s="68">
        <f t="shared" si="4"/>
        <v>0</v>
      </c>
      <c r="T25" s="310">
        <f t="shared" si="5"/>
        <v>0</v>
      </c>
      <c r="V25" s="120">
        <f>'As-Filed Schedule 2J'!N25</f>
        <v>0</v>
      </c>
      <c r="W25" s="313">
        <f>SUMIFS(Adjustments!$G:$G,Adjustments!$H:$H,"2J",Adjustments!$I:$I,'Schedule 2J Adjustments'!$V$12,Adjustments!$J:$J,'Schedule 2J Adjustments'!$A25)</f>
        <v>0</v>
      </c>
      <c r="X25" s="309">
        <f t="shared" si="6"/>
        <v>0</v>
      </c>
      <c r="Y25" s="120">
        <f>'As-Filed Schedule 2J'!O25</f>
        <v>0</v>
      </c>
      <c r="Z25" s="313">
        <f>SUMIFS(Adjustments!$G:$G,Adjustments!$H:$H,"2J",Adjustments!$I:$I,'Schedule 2J Adjustments'!$Y$12,Adjustments!$J:$J,'Schedule 2J Adjustments'!$A25)</f>
        <v>0</v>
      </c>
      <c r="AA25" s="309">
        <f t="shared" si="7"/>
        <v>0</v>
      </c>
    </row>
    <row r="26" spans="1:27" x14ac:dyDescent="0.35">
      <c r="A26" s="24">
        <v>12</v>
      </c>
      <c r="B26" s="507" t="str">
        <f>IF('As-Filed Schedule 2J'!B26:D26=0,"",'As-Filed Schedule 2J'!B26:D26)</f>
        <v/>
      </c>
      <c r="C26" s="507"/>
      <c r="D26" s="507"/>
      <c r="F26" s="117">
        <f>'As-Filed Schedule 2J'!F26</f>
        <v>0</v>
      </c>
      <c r="G26" s="313">
        <f>SUMIFS(Adjustments!$G:$G,Adjustments!$H:$H,"2J",Adjustments!$I:$I,'Schedule 2J Adjustments'!$F$12,Adjustments!$J:$J,'Schedule 2J Adjustments'!$A26)</f>
        <v>0</v>
      </c>
      <c r="H26" s="309">
        <f t="shared" si="0"/>
        <v>0</v>
      </c>
      <c r="I26" s="68">
        <f>IFERROR(F26*'As-Filed Schedule 1'!$E$103,0)</f>
        <v>0</v>
      </c>
      <c r="J26" s="310">
        <f>IFERROR(H26*'Adjusted Schedule 1'!$E$104,0)</f>
        <v>0</v>
      </c>
      <c r="K26" s="68">
        <f t="shared" si="1"/>
        <v>0</v>
      </c>
      <c r="L26" s="310">
        <f t="shared" si="2"/>
        <v>0</v>
      </c>
      <c r="N26" s="117">
        <f>'As-Filed Schedule 2J'!J26</f>
        <v>0</v>
      </c>
      <c r="O26" s="313">
        <f>SUMIFS(Adjustments!$G:$G,Adjustments!$H:$H,"2J",Adjustments!$I:$I,'Schedule 2J Adjustments'!$N$12,Adjustments!$J:$J,'Schedule 2J Adjustments'!$A26)</f>
        <v>0</v>
      </c>
      <c r="P26" s="309">
        <f t="shared" si="3"/>
        <v>0</v>
      </c>
      <c r="Q26" s="68">
        <f>IFERROR(N26*'As-Filed Schedule 1'!$E$103,0)</f>
        <v>0</v>
      </c>
      <c r="R26" s="68">
        <f>IFERROR(P26*'Adjusted Schedule 1'!$E$104,0)</f>
        <v>0</v>
      </c>
      <c r="S26" s="68">
        <f t="shared" si="4"/>
        <v>0</v>
      </c>
      <c r="T26" s="310">
        <f t="shared" si="5"/>
        <v>0</v>
      </c>
      <c r="V26" s="120">
        <f>'As-Filed Schedule 2J'!N26</f>
        <v>0</v>
      </c>
      <c r="W26" s="313">
        <f>SUMIFS(Adjustments!$G:$G,Adjustments!$H:$H,"2J",Adjustments!$I:$I,'Schedule 2J Adjustments'!$V$12,Adjustments!$J:$J,'Schedule 2J Adjustments'!$A26)</f>
        <v>0</v>
      </c>
      <c r="X26" s="309">
        <f t="shared" si="6"/>
        <v>0</v>
      </c>
      <c r="Y26" s="120">
        <f>'As-Filed Schedule 2J'!O26</f>
        <v>0</v>
      </c>
      <c r="Z26" s="313">
        <f>SUMIFS(Adjustments!$G:$G,Adjustments!$H:$H,"2J",Adjustments!$I:$I,'Schedule 2J Adjustments'!$Y$12,Adjustments!$J:$J,'Schedule 2J Adjustments'!$A26)</f>
        <v>0</v>
      </c>
      <c r="AA26" s="309">
        <f t="shared" si="7"/>
        <v>0</v>
      </c>
    </row>
    <row r="27" spans="1:27" x14ac:dyDescent="0.35">
      <c r="A27" s="24">
        <v>13</v>
      </c>
      <c r="B27" s="507" t="str">
        <f>IF('As-Filed Schedule 2J'!B27:D27=0,"",'As-Filed Schedule 2J'!B27:D27)</f>
        <v/>
      </c>
      <c r="C27" s="507"/>
      <c r="D27" s="507"/>
      <c r="F27" s="117">
        <f>'As-Filed Schedule 2J'!F27</f>
        <v>0</v>
      </c>
      <c r="G27" s="313">
        <f>SUMIFS(Adjustments!$G:$G,Adjustments!$H:$H,"2J",Adjustments!$I:$I,'Schedule 2J Adjustments'!$F$12,Adjustments!$J:$J,'Schedule 2J Adjustments'!$A27)</f>
        <v>0</v>
      </c>
      <c r="H27" s="309">
        <f t="shared" si="0"/>
        <v>0</v>
      </c>
      <c r="I27" s="68">
        <f>IFERROR(F27*'As-Filed Schedule 1'!$E$103,0)</f>
        <v>0</v>
      </c>
      <c r="J27" s="310">
        <f>IFERROR(H27*'Adjusted Schedule 1'!$E$104,0)</f>
        <v>0</v>
      </c>
      <c r="K27" s="68">
        <f t="shared" si="1"/>
        <v>0</v>
      </c>
      <c r="L27" s="310">
        <f t="shared" si="2"/>
        <v>0</v>
      </c>
      <c r="N27" s="117">
        <f>'As-Filed Schedule 2J'!J27</f>
        <v>0</v>
      </c>
      <c r="O27" s="313">
        <f>SUMIFS(Adjustments!$G:$G,Adjustments!$H:$H,"2J",Adjustments!$I:$I,'Schedule 2J Adjustments'!$N$12,Adjustments!$J:$J,'Schedule 2J Adjustments'!$A27)</f>
        <v>0</v>
      </c>
      <c r="P27" s="309">
        <f t="shared" si="3"/>
        <v>0</v>
      </c>
      <c r="Q27" s="68">
        <f>IFERROR(N27*'As-Filed Schedule 1'!$E$103,0)</f>
        <v>0</v>
      </c>
      <c r="R27" s="68">
        <f>IFERROR(P27*'Adjusted Schedule 1'!$E$104,0)</f>
        <v>0</v>
      </c>
      <c r="S27" s="68">
        <f t="shared" si="4"/>
        <v>0</v>
      </c>
      <c r="T27" s="310">
        <f t="shared" si="5"/>
        <v>0</v>
      </c>
      <c r="V27" s="120">
        <f>'As-Filed Schedule 2J'!N27</f>
        <v>0</v>
      </c>
      <c r="W27" s="313">
        <f>SUMIFS(Adjustments!$G:$G,Adjustments!$H:$H,"2J",Adjustments!$I:$I,'Schedule 2J Adjustments'!$V$12,Adjustments!$J:$J,'Schedule 2J Adjustments'!$A27)</f>
        <v>0</v>
      </c>
      <c r="X27" s="309">
        <f t="shared" si="6"/>
        <v>0</v>
      </c>
      <c r="Y27" s="120">
        <f>'As-Filed Schedule 2J'!O27</f>
        <v>0</v>
      </c>
      <c r="Z27" s="313">
        <f>SUMIFS(Adjustments!$G:$G,Adjustments!$H:$H,"2J",Adjustments!$I:$I,'Schedule 2J Adjustments'!$Y$12,Adjustments!$J:$J,'Schedule 2J Adjustments'!$A27)</f>
        <v>0</v>
      </c>
      <c r="AA27" s="309">
        <f t="shared" si="7"/>
        <v>0</v>
      </c>
    </row>
    <row r="28" spans="1:27" x14ac:dyDescent="0.35">
      <c r="A28" s="24">
        <v>14</v>
      </c>
      <c r="B28" s="507" t="str">
        <f>IF('As-Filed Schedule 2J'!B28:D28=0,"",'As-Filed Schedule 2J'!B28:D28)</f>
        <v/>
      </c>
      <c r="C28" s="507"/>
      <c r="D28" s="507"/>
      <c r="F28" s="117">
        <f>'As-Filed Schedule 2J'!F28</f>
        <v>0</v>
      </c>
      <c r="G28" s="313">
        <f>SUMIFS(Adjustments!$G:$G,Adjustments!$H:$H,"2J",Adjustments!$I:$I,'Schedule 2J Adjustments'!$F$12,Adjustments!$J:$J,'Schedule 2J Adjustments'!$A28)</f>
        <v>0</v>
      </c>
      <c r="H28" s="309">
        <f t="shared" si="0"/>
        <v>0</v>
      </c>
      <c r="I28" s="68">
        <f>IFERROR(F28*'As-Filed Schedule 1'!$E$103,0)</f>
        <v>0</v>
      </c>
      <c r="J28" s="310">
        <f>IFERROR(H28*'Adjusted Schedule 1'!$E$104,0)</f>
        <v>0</v>
      </c>
      <c r="K28" s="68">
        <f t="shared" si="1"/>
        <v>0</v>
      </c>
      <c r="L28" s="310">
        <f t="shared" si="2"/>
        <v>0</v>
      </c>
      <c r="N28" s="117">
        <f>'As-Filed Schedule 2J'!J28</f>
        <v>0</v>
      </c>
      <c r="O28" s="313">
        <f>SUMIFS(Adjustments!$G:$G,Adjustments!$H:$H,"2J",Adjustments!$I:$I,'Schedule 2J Adjustments'!$N$12,Adjustments!$J:$J,'Schedule 2J Adjustments'!$A28)</f>
        <v>0</v>
      </c>
      <c r="P28" s="309">
        <f t="shared" si="3"/>
        <v>0</v>
      </c>
      <c r="Q28" s="68">
        <f>IFERROR(N28*'As-Filed Schedule 1'!$E$103,0)</f>
        <v>0</v>
      </c>
      <c r="R28" s="68">
        <f>IFERROR(P28*'Adjusted Schedule 1'!$E$104,0)</f>
        <v>0</v>
      </c>
      <c r="S28" s="68">
        <f t="shared" si="4"/>
        <v>0</v>
      </c>
      <c r="T28" s="310">
        <f t="shared" si="5"/>
        <v>0</v>
      </c>
      <c r="V28" s="120">
        <f>'As-Filed Schedule 2J'!N28</f>
        <v>0</v>
      </c>
      <c r="W28" s="313">
        <f>SUMIFS(Adjustments!$G:$G,Adjustments!$H:$H,"2J",Adjustments!$I:$I,'Schedule 2J Adjustments'!$V$12,Adjustments!$J:$J,'Schedule 2J Adjustments'!$A28)</f>
        <v>0</v>
      </c>
      <c r="X28" s="309">
        <f t="shared" si="6"/>
        <v>0</v>
      </c>
      <c r="Y28" s="120">
        <f>'As-Filed Schedule 2J'!O28</f>
        <v>0</v>
      </c>
      <c r="Z28" s="313">
        <f>SUMIFS(Adjustments!$G:$G,Adjustments!$H:$H,"2J",Adjustments!$I:$I,'Schedule 2J Adjustments'!$Y$12,Adjustments!$J:$J,'Schedule 2J Adjustments'!$A28)</f>
        <v>0</v>
      </c>
      <c r="AA28" s="309">
        <f t="shared" si="7"/>
        <v>0</v>
      </c>
    </row>
    <row r="29" spans="1:27" x14ac:dyDescent="0.35">
      <c r="A29" s="24">
        <v>15</v>
      </c>
      <c r="B29" s="507" t="str">
        <f>IF('As-Filed Schedule 2J'!B29:D29=0,"",'As-Filed Schedule 2J'!B29:D29)</f>
        <v/>
      </c>
      <c r="C29" s="507"/>
      <c r="D29" s="507"/>
      <c r="F29" s="117">
        <f>'As-Filed Schedule 2J'!F29</f>
        <v>0</v>
      </c>
      <c r="G29" s="313">
        <f>SUMIFS(Adjustments!$G:$G,Adjustments!$H:$H,"2J",Adjustments!$I:$I,'Schedule 2J Adjustments'!$F$12,Adjustments!$J:$J,'Schedule 2J Adjustments'!$A29)</f>
        <v>0</v>
      </c>
      <c r="H29" s="309">
        <f t="shared" si="0"/>
        <v>0</v>
      </c>
      <c r="I29" s="68">
        <f>IFERROR(F29*'As-Filed Schedule 1'!$E$103,0)</f>
        <v>0</v>
      </c>
      <c r="J29" s="310">
        <f>IFERROR(H29*'Adjusted Schedule 1'!$E$104,0)</f>
        <v>0</v>
      </c>
      <c r="K29" s="68">
        <f t="shared" si="1"/>
        <v>0</v>
      </c>
      <c r="L29" s="310">
        <f t="shared" si="2"/>
        <v>0</v>
      </c>
      <c r="N29" s="117">
        <f>'As-Filed Schedule 2J'!J29</f>
        <v>0</v>
      </c>
      <c r="O29" s="313">
        <f>SUMIFS(Adjustments!$G:$G,Adjustments!$H:$H,"2J",Adjustments!$I:$I,'Schedule 2J Adjustments'!$N$12,Adjustments!$J:$J,'Schedule 2J Adjustments'!$A29)</f>
        <v>0</v>
      </c>
      <c r="P29" s="309">
        <f t="shared" si="3"/>
        <v>0</v>
      </c>
      <c r="Q29" s="68">
        <f>IFERROR(N29*'As-Filed Schedule 1'!$E$103,0)</f>
        <v>0</v>
      </c>
      <c r="R29" s="68">
        <f>IFERROR(P29*'Adjusted Schedule 1'!$E$104,0)</f>
        <v>0</v>
      </c>
      <c r="S29" s="68">
        <f t="shared" si="4"/>
        <v>0</v>
      </c>
      <c r="T29" s="310">
        <f t="shared" si="5"/>
        <v>0</v>
      </c>
      <c r="V29" s="120">
        <f>'As-Filed Schedule 2J'!N29</f>
        <v>0</v>
      </c>
      <c r="W29" s="313">
        <f>SUMIFS(Adjustments!$G:$G,Adjustments!$H:$H,"2J",Adjustments!$I:$I,'Schedule 2J Adjustments'!$V$12,Adjustments!$J:$J,'Schedule 2J Adjustments'!$A29)</f>
        <v>0</v>
      </c>
      <c r="X29" s="309">
        <f t="shared" si="6"/>
        <v>0</v>
      </c>
      <c r="Y29" s="120">
        <f>'As-Filed Schedule 2J'!O29</f>
        <v>0</v>
      </c>
      <c r="Z29" s="313">
        <f>SUMIFS(Adjustments!$G:$G,Adjustments!$H:$H,"2J",Adjustments!$I:$I,'Schedule 2J Adjustments'!$Y$12,Adjustments!$J:$J,'Schedule 2J Adjustments'!$A29)</f>
        <v>0</v>
      </c>
      <c r="AA29" s="309">
        <f t="shared" si="7"/>
        <v>0</v>
      </c>
    </row>
    <row r="30" spans="1:27" x14ac:dyDescent="0.35">
      <c r="A30" s="24">
        <v>16</v>
      </c>
      <c r="B30" s="507" t="str">
        <f>IF('As-Filed Schedule 2J'!B30:D30=0,"",'As-Filed Schedule 2J'!B30:D30)</f>
        <v/>
      </c>
      <c r="C30" s="507"/>
      <c r="D30" s="507"/>
      <c r="F30" s="117">
        <f>'As-Filed Schedule 2J'!F30</f>
        <v>0</v>
      </c>
      <c r="G30" s="313">
        <f>SUMIFS(Adjustments!$G:$G,Adjustments!$H:$H,"2J",Adjustments!$I:$I,'Schedule 2J Adjustments'!$F$12,Adjustments!$J:$J,'Schedule 2J Adjustments'!$A30)</f>
        <v>0</v>
      </c>
      <c r="H30" s="309">
        <f t="shared" si="0"/>
        <v>0</v>
      </c>
      <c r="I30" s="68">
        <f>IFERROR(F30*'As-Filed Schedule 1'!$E$103,0)</f>
        <v>0</v>
      </c>
      <c r="J30" s="310">
        <f>IFERROR(H30*'Adjusted Schedule 1'!$E$104,0)</f>
        <v>0</v>
      </c>
      <c r="K30" s="68">
        <f t="shared" si="1"/>
        <v>0</v>
      </c>
      <c r="L30" s="310">
        <f t="shared" si="2"/>
        <v>0</v>
      </c>
      <c r="N30" s="117">
        <f>'As-Filed Schedule 2J'!J30</f>
        <v>0</v>
      </c>
      <c r="O30" s="313">
        <f>SUMIFS(Adjustments!$G:$G,Adjustments!$H:$H,"2J",Adjustments!$I:$I,'Schedule 2J Adjustments'!$N$12,Adjustments!$J:$J,'Schedule 2J Adjustments'!$A30)</f>
        <v>0</v>
      </c>
      <c r="P30" s="309">
        <f t="shared" si="3"/>
        <v>0</v>
      </c>
      <c r="Q30" s="68">
        <f>IFERROR(N30*'As-Filed Schedule 1'!$E$103,0)</f>
        <v>0</v>
      </c>
      <c r="R30" s="68">
        <f>IFERROR(P30*'Adjusted Schedule 1'!$E$104,0)</f>
        <v>0</v>
      </c>
      <c r="S30" s="68">
        <f t="shared" si="4"/>
        <v>0</v>
      </c>
      <c r="T30" s="310">
        <f t="shared" si="5"/>
        <v>0</v>
      </c>
      <c r="V30" s="120">
        <f>'As-Filed Schedule 2J'!N30</f>
        <v>0</v>
      </c>
      <c r="W30" s="313">
        <f>SUMIFS(Adjustments!$G:$G,Adjustments!$H:$H,"2J",Adjustments!$I:$I,'Schedule 2J Adjustments'!$V$12,Adjustments!$J:$J,'Schedule 2J Adjustments'!$A30)</f>
        <v>0</v>
      </c>
      <c r="X30" s="309">
        <f t="shared" si="6"/>
        <v>0</v>
      </c>
      <c r="Y30" s="120">
        <f>'As-Filed Schedule 2J'!O30</f>
        <v>0</v>
      </c>
      <c r="Z30" s="313">
        <f>SUMIFS(Adjustments!$G:$G,Adjustments!$H:$H,"2J",Adjustments!$I:$I,'Schedule 2J Adjustments'!$Y$12,Adjustments!$J:$J,'Schedule 2J Adjustments'!$A30)</f>
        <v>0</v>
      </c>
      <c r="AA30" s="309">
        <f t="shared" si="7"/>
        <v>0</v>
      </c>
    </row>
    <row r="31" spans="1:27" x14ac:dyDescent="0.35">
      <c r="A31" s="24">
        <v>17</v>
      </c>
      <c r="B31" s="507" t="str">
        <f>IF('As-Filed Schedule 2J'!B31:D31=0,"",'As-Filed Schedule 2J'!B31:D31)</f>
        <v/>
      </c>
      <c r="C31" s="507"/>
      <c r="D31" s="507"/>
      <c r="F31" s="117">
        <f>'As-Filed Schedule 2J'!F31</f>
        <v>0</v>
      </c>
      <c r="G31" s="313">
        <f>SUMIFS(Adjustments!$G:$G,Adjustments!$H:$H,"2J",Adjustments!$I:$I,'Schedule 2J Adjustments'!$F$12,Adjustments!$J:$J,'Schedule 2J Adjustments'!$A31)</f>
        <v>0</v>
      </c>
      <c r="H31" s="309">
        <f t="shared" si="0"/>
        <v>0</v>
      </c>
      <c r="I31" s="68">
        <f>IFERROR(F31*'As-Filed Schedule 1'!$E$103,0)</f>
        <v>0</v>
      </c>
      <c r="J31" s="310">
        <f>IFERROR(H31*'Adjusted Schedule 1'!$E$104,0)</f>
        <v>0</v>
      </c>
      <c r="K31" s="68">
        <f t="shared" si="1"/>
        <v>0</v>
      </c>
      <c r="L31" s="310">
        <f t="shared" si="2"/>
        <v>0</v>
      </c>
      <c r="N31" s="117">
        <f>'As-Filed Schedule 2J'!J31</f>
        <v>0</v>
      </c>
      <c r="O31" s="313">
        <f>SUMIFS(Adjustments!$G:$G,Adjustments!$H:$H,"2J",Adjustments!$I:$I,'Schedule 2J Adjustments'!$N$12,Adjustments!$J:$J,'Schedule 2J Adjustments'!$A31)</f>
        <v>0</v>
      </c>
      <c r="P31" s="309">
        <f t="shared" si="3"/>
        <v>0</v>
      </c>
      <c r="Q31" s="68">
        <f>IFERROR(N31*'As-Filed Schedule 1'!$E$103,0)</f>
        <v>0</v>
      </c>
      <c r="R31" s="68">
        <f>IFERROR(P31*'Adjusted Schedule 1'!$E$104,0)</f>
        <v>0</v>
      </c>
      <c r="S31" s="68">
        <f t="shared" si="4"/>
        <v>0</v>
      </c>
      <c r="T31" s="310">
        <f t="shared" si="5"/>
        <v>0</v>
      </c>
      <c r="V31" s="120">
        <f>'As-Filed Schedule 2J'!N31</f>
        <v>0</v>
      </c>
      <c r="W31" s="313">
        <f>SUMIFS(Adjustments!$G:$G,Adjustments!$H:$H,"2J",Adjustments!$I:$I,'Schedule 2J Adjustments'!$V$12,Adjustments!$J:$J,'Schedule 2J Adjustments'!$A31)</f>
        <v>0</v>
      </c>
      <c r="X31" s="309">
        <f t="shared" si="6"/>
        <v>0</v>
      </c>
      <c r="Y31" s="120">
        <f>'As-Filed Schedule 2J'!O31</f>
        <v>0</v>
      </c>
      <c r="Z31" s="313">
        <f>SUMIFS(Adjustments!$G:$G,Adjustments!$H:$H,"2J",Adjustments!$I:$I,'Schedule 2J Adjustments'!$Y$12,Adjustments!$J:$J,'Schedule 2J Adjustments'!$A31)</f>
        <v>0</v>
      </c>
      <c r="AA31" s="309">
        <f t="shared" si="7"/>
        <v>0</v>
      </c>
    </row>
    <row r="32" spans="1:27" x14ac:dyDescent="0.35">
      <c r="A32" s="24">
        <v>18</v>
      </c>
      <c r="B32" s="507" t="str">
        <f>IF('As-Filed Schedule 2J'!B32:D32=0,"",'As-Filed Schedule 2J'!B32:D32)</f>
        <v/>
      </c>
      <c r="C32" s="507"/>
      <c r="D32" s="507"/>
      <c r="F32" s="117">
        <f>'As-Filed Schedule 2J'!F32</f>
        <v>0</v>
      </c>
      <c r="G32" s="313">
        <f>SUMIFS(Adjustments!$G:$G,Adjustments!$H:$H,"2J",Adjustments!$I:$I,'Schedule 2J Adjustments'!$F$12,Adjustments!$J:$J,'Schedule 2J Adjustments'!$A32)</f>
        <v>0</v>
      </c>
      <c r="H32" s="309">
        <f t="shared" si="0"/>
        <v>0</v>
      </c>
      <c r="I32" s="68">
        <f>IFERROR(F32*'As-Filed Schedule 1'!$E$103,0)</f>
        <v>0</v>
      </c>
      <c r="J32" s="310">
        <f>IFERROR(H32*'Adjusted Schedule 1'!$E$104,0)</f>
        <v>0</v>
      </c>
      <c r="K32" s="68">
        <f t="shared" si="1"/>
        <v>0</v>
      </c>
      <c r="L32" s="310">
        <f t="shared" si="2"/>
        <v>0</v>
      </c>
      <c r="N32" s="117">
        <f>'As-Filed Schedule 2J'!J32</f>
        <v>0</v>
      </c>
      <c r="O32" s="313">
        <f>SUMIFS(Adjustments!$G:$G,Adjustments!$H:$H,"2J",Adjustments!$I:$I,'Schedule 2J Adjustments'!$N$12,Adjustments!$J:$J,'Schedule 2J Adjustments'!$A32)</f>
        <v>0</v>
      </c>
      <c r="P32" s="309">
        <f t="shared" si="3"/>
        <v>0</v>
      </c>
      <c r="Q32" s="68">
        <f>IFERROR(N32*'As-Filed Schedule 1'!$E$103,0)</f>
        <v>0</v>
      </c>
      <c r="R32" s="68">
        <f>IFERROR(P32*'Adjusted Schedule 1'!$E$104,0)</f>
        <v>0</v>
      </c>
      <c r="S32" s="68">
        <f t="shared" si="4"/>
        <v>0</v>
      </c>
      <c r="T32" s="310">
        <f t="shared" si="5"/>
        <v>0</v>
      </c>
      <c r="V32" s="120">
        <f>'As-Filed Schedule 2J'!N32</f>
        <v>0</v>
      </c>
      <c r="W32" s="313">
        <f>SUMIFS(Adjustments!$G:$G,Adjustments!$H:$H,"2J",Adjustments!$I:$I,'Schedule 2J Adjustments'!$V$12,Adjustments!$J:$J,'Schedule 2J Adjustments'!$A32)</f>
        <v>0</v>
      </c>
      <c r="X32" s="309">
        <f t="shared" si="6"/>
        <v>0</v>
      </c>
      <c r="Y32" s="120">
        <f>'As-Filed Schedule 2J'!O32</f>
        <v>0</v>
      </c>
      <c r="Z32" s="313">
        <f>SUMIFS(Adjustments!$G:$G,Adjustments!$H:$H,"2J",Adjustments!$I:$I,'Schedule 2J Adjustments'!$Y$12,Adjustments!$J:$J,'Schedule 2J Adjustments'!$A32)</f>
        <v>0</v>
      </c>
      <c r="AA32" s="309">
        <f t="shared" si="7"/>
        <v>0</v>
      </c>
    </row>
    <row r="33" spans="1:27" x14ac:dyDescent="0.35">
      <c r="A33" s="24">
        <v>19</v>
      </c>
      <c r="B33" s="507" t="str">
        <f>IF('As-Filed Schedule 2J'!B33:D33=0,"",'As-Filed Schedule 2J'!B33:D33)</f>
        <v/>
      </c>
      <c r="C33" s="507"/>
      <c r="D33" s="507"/>
      <c r="F33" s="117">
        <f>'As-Filed Schedule 2J'!F33</f>
        <v>0</v>
      </c>
      <c r="G33" s="313">
        <f>SUMIFS(Adjustments!$G:$G,Adjustments!$H:$H,"2J",Adjustments!$I:$I,'Schedule 2J Adjustments'!$F$12,Adjustments!$J:$J,'Schedule 2J Adjustments'!$A33)</f>
        <v>0</v>
      </c>
      <c r="H33" s="309">
        <f t="shared" si="0"/>
        <v>0</v>
      </c>
      <c r="I33" s="68">
        <f>IFERROR(F33*'As-Filed Schedule 1'!$E$103,0)</f>
        <v>0</v>
      </c>
      <c r="J33" s="310">
        <f>IFERROR(H33*'Adjusted Schedule 1'!$E$104,0)</f>
        <v>0</v>
      </c>
      <c r="K33" s="68">
        <f t="shared" si="1"/>
        <v>0</v>
      </c>
      <c r="L33" s="310">
        <f t="shared" si="2"/>
        <v>0</v>
      </c>
      <c r="N33" s="117">
        <f>'As-Filed Schedule 2J'!J33</f>
        <v>0</v>
      </c>
      <c r="O33" s="313">
        <f>SUMIFS(Adjustments!$G:$G,Adjustments!$H:$H,"2J",Adjustments!$I:$I,'Schedule 2J Adjustments'!$N$12,Adjustments!$J:$J,'Schedule 2J Adjustments'!$A33)</f>
        <v>0</v>
      </c>
      <c r="P33" s="309">
        <f t="shared" si="3"/>
        <v>0</v>
      </c>
      <c r="Q33" s="68">
        <f>IFERROR(N33*'As-Filed Schedule 1'!$E$103,0)</f>
        <v>0</v>
      </c>
      <c r="R33" s="68">
        <f>IFERROR(P33*'Adjusted Schedule 1'!$E$104,0)</f>
        <v>0</v>
      </c>
      <c r="S33" s="68">
        <f t="shared" si="4"/>
        <v>0</v>
      </c>
      <c r="T33" s="310">
        <f t="shared" si="5"/>
        <v>0</v>
      </c>
      <c r="V33" s="120">
        <f>'As-Filed Schedule 2J'!N33</f>
        <v>0</v>
      </c>
      <c r="W33" s="313">
        <f>SUMIFS(Adjustments!$G:$G,Adjustments!$H:$H,"2J",Adjustments!$I:$I,'Schedule 2J Adjustments'!$V$12,Adjustments!$J:$J,'Schedule 2J Adjustments'!$A33)</f>
        <v>0</v>
      </c>
      <c r="X33" s="309">
        <f t="shared" si="6"/>
        <v>0</v>
      </c>
      <c r="Y33" s="120">
        <f>'As-Filed Schedule 2J'!O33</f>
        <v>0</v>
      </c>
      <c r="Z33" s="313">
        <f>SUMIFS(Adjustments!$G:$G,Adjustments!$H:$H,"2J",Adjustments!$I:$I,'Schedule 2J Adjustments'!$Y$12,Adjustments!$J:$J,'Schedule 2J Adjustments'!$A33)</f>
        <v>0</v>
      </c>
      <c r="AA33" s="309">
        <f t="shared" si="7"/>
        <v>0</v>
      </c>
    </row>
    <row r="34" spans="1:27" x14ac:dyDescent="0.35">
      <c r="A34" s="24">
        <v>20</v>
      </c>
      <c r="B34" s="507" t="str">
        <f>IF('As-Filed Schedule 2J'!B34:D34=0,"",'As-Filed Schedule 2J'!B34:D34)</f>
        <v/>
      </c>
      <c r="C34" s="507"/>
      <c r="D34" s="507"/>
      <c r="F34" s="117">
        <f>'As-Filed Schedule 2J'!F34</f>
        <v>0</v>
      </c>
      <c r="G34" s="313">
        <f>SUMIFS(Adjustments!$G:$G,Adjustments!$H:$H,"2J",Adjustments!$I:$I,'Schedule 2J Adjustments'!$F$12,Adjustments!$J:$J,'Schedule 2J Adjustments'!$A34)</f>
        <v>0</v>
      </c>
      <c r="H34" s="309">
        <f t="shared" si="0"/>
        <v>0</v>
      </c>
      <c r="I34" s="68">
        <f>IFERROR(F34*'As-Filed Schedule 1'!$E$103,0)</f>
        <v>0</v>
      </c>
      <c r="J34" s="310">
        <f>IFERROR(H34*'Adjusted Schedule 1'!$E$104,0)</f>
        <v>0</v>
      </c>
      <c r="K34" s="68">
        <f t="shared" si="1"/>
        <v>0</v>
      </c>
      <c r="L34" s="310">
        <f t="shared" si="2"/>
        <v>0</v>
      </c>
      <c r="N34" s="117">
        <f>'As-Filed Schedule 2J'!J34</f>
        <v>0</v>
      </c>
      <c r="O34" s="313">
        <f>SUMIFS(Adjustments!$G:$G,Adjustments!$H:$H,"2J",Adjustments!$I:$I,'Schedule 2J Adjustments'!$N$12,Adjustments!$J:$J,'Schedule 2J Adjustments'!$A34)</f>
        <v>0</v>
      </c>
      <c r="P34" s="309">
        <f t="shared" si="3"/>
        <v>0</v>
      </c>
      <c r="Q34" s="68">
        <f>IFERROR(N34*'As-Filed Schedule 1'!$E$103,0)</f>
        <v>0</v>
      </c>
      <c r="R34" s="68">
        <f>IFERROR(P34*'Adjusted Schedule 1'!$E$104,0)</f>
        <v>0</v>
      </c>
      <c r="S34" s="68">
        <f t="shared" si="4"/>
        <v>0</v>
      </c>
      <c r="T34" s="310">
        <f t="shared" si="5"/>
        <v>0</v>
      </c>
      <c r="V34" s="120">
        <f>'As-Filed Schedule 2J'!N34</f>
        <v>0</v>
      </c>
      <c r="W34" s="313">
        <f>SUMIFS(Adjustments!$G:$G,Adjustments!$H:$H,"2J",Adjustments!$I:$I,'Schedule 2J Adjustments'!$V$12,Adjustments!$J:$J,'Schedule 2J Adjustments'!$A34)</f>
        <v>0</v>
      </c>
      <c r="X34" s="309">
        <f t="shared" si="6"/>
        <v>0</v>
      </c>
      <c r="Y34" s="120">
        <f>'As-Filed Schedule 2J'!O34</f>
        <v>0</v>
      </c>
      <c r="Z34" s="313">
        <f>SUMIFS(Adjustments!$G:$G,Adjustments!$H:$H,"2J",Adjustments!$I:$I,'Schedule 2J Adjustments'!$Y$12,Adjustments!$J:$J,'Schedule 2J Adjustments'!$A34)</f>
        <v>0</v>
      </c>
      <c r="AA34" s="309">
        <f t="shared" si="7"/>
        <v>0</v>
      </c>
    </row>
    <row r="35" spans="1:27" x14ac:dyDescent="0.35">
      <c r="A35" s="24">
        <v>21</v>
      </c>
      <c r="B35" s="507" t="str">
        <f>IF('As-Filed Schedule 2J'!B35:D35=0,"",'As-Filed Schedule 2J'!B35:D35)</f>
        <v/>
      </c>
      <c r="C35" s="507"/>
      <c r="D35" s="507"/>
      <c r="F35" s="117">
        <f>'As-Filed Schedule 2J'!F35</f>
        <v>0</v>
      </c>
      <c r="G35" s="313">
        <f>SUMIFS(Adjustments!$G:$G,Adjustments!$H:$H,"2J",Adjustments!$I:$I,'Schedule 2J Adjustments'!$F$12,Adjustments!$J:$J,'Schedule 2J Adjustments'!$A35)</f>
        <v>0</v>
      </c>
      <c r="H35" s="309">
        <f t="shared" si="0"/>
        <v>0</v>
      </c>
      <c r="I35" s="68">
        <f>IFERROR(F35*'As-Filed Schedule 1'!$E$103,0)</f>
        <v>0</v>
      </c>
      <c r="J35" s="310">
        <f>IFERROR(H35*'Adjusted Schedule 1'!$E$104,0)</f>
        <v>0</v>
      </c>
      <c r="K35" s="68">
        <f t="shared" si="1"/>
        <v>0</v>
      </c>
      <c r="L35" s="310">
        <f t="shared" si="2"/>
        <v>0</v>
      </c>
      <c r="N35" s="117">
        <f>'As-Filed Schedule 2J'!J35</f>
        <v>0</v>
      </c>
      <c r="O35" s="313">
        <f>SUMIFS(Adjustments!$G:$G,Adjustments!$H:$H,"2J",Adjustments!$I:$I,'Schedule 2J Adjustments'!$N$12,Adjustments!$J:$J,'Schedule 2J Adjustments'!$A35)</f>
        <v>0</v>
      </c>
      <c r="P35" s="309">
        <f t="shared" si="3"/>
        <v>0</v>
      </c>
      <c r="Q35" s="68">
        <f>IFERROR(N35*'As-Filed Schedule 1'!$E$103,0)</f>
        <v>0</v>
      </c>
      <c r="R35" s="68">
        <f>IFERROR(P35*'Adjusted Schedule 1'!$E$104,0)</f>
        <v>0</v>
      </c>
      <c r="S35" s="68">
        <f t="shared" si="4"/>
        <v>0</v>
      </c>
      <c r="T35" s="310">
        <f t="shared" si="5"/>
        <v>0</v>
      </c>
      <c r="V35" s="120">
        <f>'As-Filed Schedule 2J'!N35</f>
        <v>0</v>
      </c>
      <c r="W35" s="313">
        <f>SUMIFS(Adjustments!$G:$G,Adjustments!$H:$H,"2J",Adjustments!$I:$I,'Schedule 2J Adjustments'!$V$12,Adjustments!$J:$J,'Schedule 2J Adjustments'!$A35)</f>
        <v>0</v>
      </c>
      <c r="X35" s="309">
        <f t="shared" si="6"/>
        <v>0</v>
      </c>
      <c r="Y35" s="120">
        <f>'As-Filed Schedule 2J'!O35</f>
        <v>0</v>
      </c>
      <c r="Z35" s="313">
        <f>SUMIFS(Adjustments!$G:$G,Adjustments!$H:$H,"2J",Adjustments!$I:$I,'Schedule 2J Adjustments'!$Y$12,Adjustments!$J:$J,'Schedule 2J Adjustments'!$A35)</f>
        <v>0</v>
      </c>
      <c r="AA35" s="309">
        <f t="shared" si="7"/>
        <v>0</v>
      </c>
    </row>
    <row r="36" spans="1:27" x14ac:dyDescent="0.35">
      <c r="A36" s="24">
        <v>22</v>
      </c>
      <c r="B36" s="507" t="str">
        <f>IF('As-Filed Schedule 2J'!B36:D36=0,"",'As-Filed Schedule 2J'!B36:D36)</f>
        <v/>
      </c>
      <c r="C36" s="507"/>
      <c r="D36" s="507"/>
      <c r="F36" s="117">
        <f>'As-Filed Schedule 2J'!F36</f>
        <v>0</v>
      </c>
      <c r="G36" s="313">
        <f>SUMIFS(Adjustments!$G:$G,Adjustments!$H:$H,"2J",Adjustments!$I:$I,'Schedule 2J Adjustments'!$F$12,Adjustments!$J:$J,'Schedule 2J Adjustments'!$A36)</f>
        <v>0</v>
      </c>
      <c r="H36" s="309">
        <f t="shared" si="0"/>
        <v>0</v>
      </c>
      <c r="I36" s="68">
        <f>IFERROR(F36*'As-Filed Schedule 1'!$E$103,0)</f>
        <v>0</v>
      </c>
      <c r="J36" s="310">
        <f>IFERROR(H36*'Adjusted Schedule 1'!$E$104,0)</f>
        <v>0</v>
      </c>
      <c r="K36" s="68">
        <f t="shared" si="1"/>
        <v>0</v>
      </c>
      <c r="L36" s="310">
        <f t="shared" si="2"/>
        <v>0</v>
      </c>
      <c r="N36" s="117">
        <f>'As-Filed Schedule 2J'!J36</f>
        <v>0</v>
      </c>
      <c r="O36" s="313">
        <f>SUMIFS(Adjustments!$G:$G,Adjustments!$H:$H,"2J",Adjustments!$I:$I,'Schedule 2J Adjustments'!$N$12,Adjustments!$J:$J,'Schedule 2J Adjustments'!$A36)</f>
        <v>0</v>
      </c>
      <c r="P36" s="309">
        <f t="shared" si="3"/>
        <v>0</v>
      </c>
      <c r="Q36" s="68">
        <f>IFERROR(N36*'As-Filed Schedule 1'!$E$103,0)</f>
        <v>0</v>
      </c>
      <c r="R36" s="68">
        <f>IFERROR(P36*'Adjusted Schedule 1'!$E$104,0)</f>
        <v>0</v>
      </c>
      <c r="S36" s="68">
        <f t="shared" si="4"/>
        <v>0</v>
      </c>
      <c r="T36" s="310">
        <f t="shared" si="5"/>
        <v>0</v>
      </c>
      <c r="V36" s="120">
        <f>'As-Filed Schedule 2J'!N36</f>
        <v>0</v>
      </c>
      <c r="W36" s="313">
        <f>SUMIFS(Adjustments!$G:$G,Adjustments!$H:$H,"2J",Adjustments!$I:$I,'Schedule 2J Adjustments'!$V$12,Adjustments!$J:$J,'Schedule 2J Adjustments'!$A36)</f>
        <v>0</v>
      </c>
      <c r="X36" s="309">
        <f t="shared" si="6"/>
        <v>0</v>
      </c>
      <c r="Y36" s="120">
        <f>'As-Filed Schedule 2J'!O36</f>
        <v>0</v>
      </c>
      <c r="Z36" s="313">
        <f>SUMIFS(Adjustments!$G:$G,Adjustments!$H:$H,"2J",Adjustments!$I:$I,'Schedule 2J Adjustments'!$Y$12,Adjustments!$J:$J,'Schedule 2J Adjustments'!$A36)</f>
        <v>0</v>
      </c>
      <c r="AA36" s="309">
        <f t="shared" si="7"/>
        <v>0</v>
      </c>
    </row>
    <row r="37" spans="1:27" x14ac:dyDescent="0.35">
      <c r="A37" s="24">
        <v>23</v>
      </c>
      <c r="B37" s="507" t="str">
        <f>IF('As-Filed Schedule 2J'!B37:D37=0,"",'As-Filed Schedule 2J'!B37:D37)</f>
        <v/>
      </c>
      <c r="C37" s="507"/>
      <c r="D37" s="507"/>
      <c r="F37" s="117">
        <f>'As-Filed Schedule 2J'!F37</f>
        <v>0</v>
      </c>
      <c r="G37" s="313">
        <f>SUMIFS(Adjustments!$G:$G,Adjustments!$H:$H,"2J",Adjustments!$I:$I,'Schedule 2J Adjustments'!$F$12,Adjustments!$J:$J,'Schedule 2J Adjustments'!$A37)</f>
        <v>0</v>
      </c>
      <c r="H37" s="309">
        <f t="shared" si="0"/>
        <v>0</v>
      </c>
      <c r="I37" s="68">
        <f>IFERROR(F37*'As-Filed Schedule 1'!$E$103,0)</f>
        <v>0</v>
      </c>
      <c r="J37" s="310">
        <f>IFERROR(H37*'Adjusted Schedule 1'!$E$104,0)</f>
        <v>0</v>
      </c>
      <c r="K37" s="68">
        <f t="shared" si="1"/>
        <v>0</v>
      </c>
      <c r="L37" s="310">
        <f t="shared" si="2"/>
        <v>0</v>
      </c>
      <c r="N37" s="117">
        <f>'As-Filed Schedule 2J'!J37</f>
        <v>0</v>
      </c>
      <c r="O37" s="313">
        <f>SUMIFS(Adjustments!$G:$G,Adjustments!$H:$H,"2J",Adjustments!$I:$I,'Schedule 2J Adjustments'!$N$12,Adjustments!$J:$J,'Schedule 2J Adjustments'!$A37)</f>
        <v>0</v>
      </c>
      <c r="P37" s="309">
        <f t="shared" si="3"/>
        <v>0</v>
      </c>
      <c r="Q37" s="68">
        <f>IFERROR(N37*'As-Filed Schedule 1'!$E$103,0)</f>
        <v>0</v>
      </c>
      <c r="R37" s="68">
        <f>IFERROR(P37*'Adjusted Schedule 1'!$E$104,0)</f>
        <v>0</v>
      </c>
      <c r="S37" s="68">
        <f t="shared" si="4"/>
        <v>0</v>
      </c>
      <c r="T37" s="310">
        <f t="shared" si="5"/>
        <v>0</v>
      </c>
      <c r="V37" s="120">
        <f>'As-Filed Schedule 2J'!N37</f>
        <v>0</v>
      </c>
      <c r="W37" s="313">
        <f>SUMIFS(Adjustments!$G:$G,Adjustments!$H:$H,"2J",Adjustments!$I:$I,'Schedule 2J Adjustments'!$V$12,Adjustments!$J:$J,'Schedule 2J Adjustments'!$A37)</f>
        <v>0</v>
      </c>
      <c r="X37" s="309">
        <f t="shared" si="6"/>
        <v>0</v>
      </c>
      <c r="Y37" s="120">
        <f>'As-Filed Schedule 2J'!O37</f>
        <v>0</v>
      </c>
      <c r="Z37" s="313">
        <f>SUMIFS(Adjustments!$G:$G,Adjustments!$H:$H,"2J",Adjustments!$I:$I,'Schedule 2J Adjustments'!$Y$12,Adjustments!$J:$J,'Schedule 2J Adjustments'!$A37)</f>
        <v>0</v>
      </c>
      <c r="AA37" s="309">
        <f t="shared" si="7"/>
        <v>0</v>
      </c>
    </row>
    <row r="38" spans="1:27" x14ac:dyDescent="0.35">
      <c r="A38" s="24">
        <v>24</v>
      </c>
      <c r="B38" s="507" t="str">
        <f>IF('As-Filed Schedule 2J'!B38:D38=0,"",'As-Filed Schedule 2J'!B38:D38)</f>
        <v/>
      </c>
      <c r="C38" s="507"/>
      <c r="D38" s="507"/>
      <c r="F38" s="117">
        <f>'As-Filed Schedule 2J'!F38</f>
        <v>0</v>
      </c>
      <c r="G38" s="313">
        <f>SUMIFS(Adjustments!$G:$G,Adjustments!$H:$H,"2J",Adjustments!$I:$I,'Schedule 2J Adjustments'!$F$12,Adjustments!$J:$J,'Schedule 2J Adjustments'!$A38)</f>
        <v>0</v>
      </c>
      <c r="H38" s="309">
        <f t="shared" si="0"/>
        <v>0</v>
      </c>
      <c r="I38" s="68">
        <f>IFERROR(F38*'As-Filed Schedule 1'!$E$103,0)</f>
        <v>0</v>
      </c>
      <c r="J38" s="310">
        <f>IFERROR(H38*'Adjusted Schedule 1'!$E$104,0)</f>
        <v>0</v>
      </c>
      <c r="K38" s="68">
        <f t="shared" si="1"/>
        <v>0</v>
      </c>
      <c r="L38" s="310">
        <f t="shared" si="2"/>
        <v>0</v>
      </c>
      <c r="N38" s="117">
        <f>'As-Filed Schedule 2J'!J38</f>
        <v>0</v>
      </c>
      <c r="O38" s="313">
        <f>SUMIFS(Adjustments!$G:$G,Adjustments!$H:$H,"2J",Adjustments!$I:$I,'Schedule 2J Adjustments'!$N$12,Adjustments!$J:$J,'Schedule 2J Adjustments'!$A38)</f>
        <v>0</v>
      </c>
      <c r="P38" s="309">
        <f t="shared" si="3"/>
        <v>0</v>
      </c>
      <c r="Q38" s="68">
        <f>IFERROR(N38*'As-Filed Schedule 1'!$E$103,0)</f>
        <v>0</v>
      </c>
      <c r="R38" s="68">
        <f>IFERROR(P38*'Adjusted Schedule 1'!$E$104,0)</f>
        <v>0</v>
      </c>
      <c r="S38" s="68">
        <f t="shared" si="4"/>
        <v>0</v>
      </c>
      <c r="T38" s="310">
        <f t="shared" si="5"/>
        <v>0</v>
      </c>
      <c r="V38" s="120">
        <f>'As-Filed Schedule 2J'!N38</f>
        <v>0</v>
      </c>
      <c r="W38" s="313">
        <f>SUMIFS(Adjustments!$G:$G,Adjustments!$H:$H,"2J",Adjustments!$I:$I,'Schedule 2J Adjustments'!$V$12,Adjustments!$J:$J,'Schedule 2J Adjustments'!$A38)</f>
        <v>0</v>
      </c>
      <c r="X38" s="309">
        <f t="shared" si="6"/>
        <v>0</v>
      </c>
      <c r="Y38" s="120">
        <f>'As-Filed Schedule 2J'!O38</f>
        <v>0</v>
      </c>
      <c r="Z38" s="313">
        <f>SUMIFS(Adjustments!$G:$G,Adjustments!$H:$H,"2J",Adjustments!$I:$I,'Schedule 2J Adjustments'!$Y$12,Adjustments!$J:$J,'Schedule 2J Adjustments'!$A38)</f>
        <v>0</v>
      </c>
      <c r="AA38" s="309">
        <f t="shared" si="7"/>
        <v>0</v>
      </c>
    </row>
    <row r="39" spans="1:27" x14ac:dyDescent="0.35">
      <c r="A39" s="24">
        <v>25</v>
      </c>
      <c r="B39" s="507" t="str">
        <f>IF('As-Filed Schedule 2J'!B39:D39=0,"",'As-Filed Schedule 2J'!B39:D39)</f>
        <v/>
      </c>
      <c r="C39" s="507"/>
      <c r="D39" s="507"/>
      <c r="F39" s="117">
        <f>'As-Filed Schedule 2J'!F39</f>
        <v>0</v>
      </c>
      <c r="G39" s="313">
        <f>SUMIFS(Adjustments!$G:$G,Adjustments!$H:$H,"2J",Adjustments!$I:$I,'Schedule 2J Adjustments'!$F$12,Adjustments!$J:$J,'Schedule 2J Adjustments'!$A39)</f>
        <v>0</v>
      </c>
      <c r="H39" s="309">
        <f t="shared" si="0"/>
        <v>0</v>
      </c>
      <c r="I39" s="68">
        <f>IFERROR(F39*'As-Filed Schedule 1'!$E$103,0)</f>
        <v>0</v>
      </c>
      <c r="J39" s="310">
        <f>IFERROR(H39*'Adjusted Schedule 1'!$E$104,0)</f>
        <v>0</v>
      </c>
      <c r="K39" s="68">
        <f t="shared" si="1"/>
        <v>0</v>
      </c>
      <c r="L39" s="310">
        <f t="shared" si="2"/>
        <v>0</v>
      </c>
      <c r="N39" s="117">
        <f>'As-Filed Schedule 2J'!J39</f>
        <v>0</v>
      </c>
      <c r="O39" s="313">
        <f>SUMIFS(Adjustments!$G:$G,Adjustments!$H:$H,"2J",Adjustments!$I:$I,'Schedule 2J Adjustments'!$N$12,Adjustments!$J:$J,'Schedule 2J Adjustments'!$A39)</f>
        <v>0</v>
      </c>
      <c r="P39" s="309">
        <f t="shared" si="3"/>
        <v>0</v>
      </c>
      <c r="Q39" s="68">
        <f>IFERROR(N39*'As-Filed Schedule 1'!$E$103,0)</f>
        <v>0</v>
      </c>
      <c r="R39" s="68">
        <f>IFERROR(P39*'Adjusted Schedule 1'!$E$104,0)</f>
        <v>0</v>
      </c>
      <c r="S39" s="68">
        <f t="shared" si="4"/>
        <v>0</v>
      </c>
      <c r="T39" s="310">
        <f t="shared" si="5"/>
        <v>0</v>
      </c>
      <c r="V39" s="120">
        <f>'As-Filed Schedule 2J'!N39</f>
        <v>0</v>
      </c>
      <c r="W39" s="313">
        <f>SUMIFS(Adjustments!$G:$G,Adjustments!$H:$H,"2J",Adjustments!$I:$I,'Schedule 2J Adjustments'!$V$12,Adjustments!$J:$J,'Schedule 2J Adjustments'!$A39)</f>
        <v>0</v>
      </c>
      <c r="X39" s="309">
        <f t="shared" si="6"/>
        <v>0</v>
      </c>
      <c r="Y39" s="120">
        <f>'As-Filed Schedule 2J'!O39</f>
        <v>0</v>
      </c>
      <c r="Z39" s="313">
        <f>SUMIFS(Adjustments!$G:$G,Adjustments!$H:$H,"2J",Adjustments!$I:$I,'Schedule 2J Adjustments'!$Y$12,Adjustments!$J:$J,'Schedule 2J Adjustments'!$A39)</f>
        <v>0</v>
      </c>
      <c r="AA39" s="309">
        <f t="shared" si="7"/>
        <v>0</v>
      </c>
    </row>
    <row r="40" spans="1:27" x14ac:dyDescent="0.35">
      <c r="A40" s="24">
        <v>26</v>
      </c>
      <c r="B40" s="507" t="str">
        <f>IF('As-Filed Schedule 2J'!B40:D40=0,"",'As-Filed Schedule 2J'!B40:D40)</f>
        <v/>
      </c>
      <c r="C40" s="507"/>
      <c r="D40" s="507"/>
      <c r="F40" s="117">
        <f>'As-Filed Schedule 2J'!F40</f>
        <v>0</v>
      </c>
      <c r="G40" s="313">
        <f>SUMIFS(Adjustments!$G:$G,Adjustments!$H:$H,"2J",Adjustments!$I:$I,'Schedule 2J Adjustments'!$F$12,Adjustments!$J:$J,'Schedule 2J Adjustments'!$A40)</f>
        <v>0</v>
      </c>
      <c r="H40" s="309">
        <f t="shared" si="0"/>
        <v>0</v>
      </c>
      <c r="I40" s="68">
        <f>IFERROR(F40*'As-Filed Schedule 1'!$E$103,0)</f>
        <v>0</v>
      </c>
      <c r="J40" s="310">
        <f>IFERROR(H40*'Adjusted Schedule 1'!$E$104,0)</f>
        <v>0</v>
      </c>
      <c r="K40" s="68">
        <f t="shared" si="1"/>
        <v>0</v>
      </c>
      <c r="L40" s="310">
        <f t="shared" si="2"/>
        <v>0</v>
      </c>
      <c r="N40" s="117">
        <f>'As-Filed Schedule 2J'!J40</f>
        <v>0</v>
      </c>
      <c r="O40" s="313">
        <f>SUMIFS(Adjustments!$G:$G,Adjustments!$H:$H,"2J",Adjustments!$I:$I,'Schedule 2J Adjustments'!$N$12,Adjustments!$J:$J,'Schedule 2J Adjustments'!$A40)</f>
        <v>0</v>
      </c>
      <c r="P40" s="309">
        <f t="shared" si="3"/>
        <v>0</v>
      </c>
      <c r="Q40" s="68">
        <f>IFERROR(N40*'As-Filed Schedule 1'!$E$103,0)</f>
        <v>0</v>
      </c>
      <c r="R40" s="68">
        <f>IFERROR(P40*'Adjusted Schedule 1'!$E$104,0)</f>
        <v>0</v>
      </c>
      <c r="S40" s="68">
        <f t="shared" si="4"/>
        <v>0</v>
      </c>
      <c r="T40" s="310">
        <f t="shared" si="5"/>
        <v>0</v>
      </c>
      <c r="V40" s="120">
        <f>'As-Filed Schedule 2J'!N40</f>
        <v>0</v>
      </c>
      <c r="W40" s="313">
        <f>SUMIFS(Adjustments!$G:$G,Adjustments!$H:$H,"2J",Adjustments!$I:$I,'Schedule 2J Adjustments'!$V$12,Adjustments!$J:$J,'Schedule 2J Adjustments'!$A40)</f>
        <v>0</v>
      </c>
      <c r="X40" s="309">
        <f t="shared" si="6"/>
        <v>0</v>
      </c>
      <c r="Y40" s="120">
        <f>'As-Filed Schedule 2J'!O40</f>
        <v>0</v>
      </c>
      <c r="Z40" s="313">
        <f>SUMIFS(Adjustments!$G:$G,Adjustments!$H:$H,"2J",Adjustments!$I:$I,'Schedule 2J Adjustments'!$Y$12,Adjustments!$J:$J,'Schedule 2J Adjustments'!$A40)</f>
        <v>0</v>
      </c>
      <c r="AA40" s="309">
        <f t="shared" si="7"/>
        <v>0</v>
      </c>
    </row>
    <row r="41" spans="1:27" x14ac:dyDescent="0.35">
      <c r="A41" s="24">
        <v>27</v>
      </c>
      <c r="B41" s="507" t="str">
        <f>IF('As-Filed Schedule 2J'!B41:D41=0,"",'As-Filed Schedule 2J'!B41:D41)</f>
        <v/>
      </c>
      <c r="C41" s="507"/>
      <c r="D41" s="507"/>
      <c r="F41" s="117">
        <f>'As-Filed Schedule 2J'!F41</f>
        <v>0</v>
      </c>
      <c r="G41" s="313">
        <f>SUMIFS(Adjustments!$G:$G,Adjustments!$H:$H,"2J",Adjustments!$I:$I,'Schedule 2J Adjustments'!$F$12,Adjustments!$J:$J,'Schedule 2J Adjustments'!$A41)</f>
        <v>0</v>
      </c>
      <c r="H41" s="309">
        <f t="shared" si="0"/>
        <v>0</v>
      </c>
      <c r="I41" s="68">
        <f>IFERROR(F41*'As-Filed Schedule 1'!$E$103,0)</f>
        <v>0</v>
      </c>
      <c r="J41" s="310">
        <f>IFERROR(H41*'Adjusted Schedule 1'!$E$104,0)</f>
        <v>0</v>
      </c>
      <c r="K41" s="68">
        <f t="shared" si="1"/>
        <v>0</v>
      </c>
      <c r="L41" s="310">
        <f t="shared" si="2"/>
        <v>0</v>
      </c>
      <c r="N41" s="117">
        <f>'As-Filed Schedule 2J'!J41</f>
        <v>0</v>
      </c>
      <c r="O41" s="313">
        <f>SUMIFS(Adjustments!$G:$G,Adjustments!$H:$H,"2J",Adjustments!$I:$I,'Schedule 2J Adjustments'!$N$12,Adjustments!$J:$J,'Schedule 2J Adjustments'!$A41)</f>
        <v>0</v>
      </c>
      <c r="P41" s="309">
        <f t="shared" si="3"/>
        <v>0</v>
      </c>
      <c r="Q41" s="68">
        <f>IFERROR(N41*'As-Filed Schedule 1'!$E$103,0)</f>
        <v>0</v>
      </c>
      <c r="R41" s="68">
        <f>IFERROR(P41*'Adjusted Schedule 1'!$E$104,0)</f>
        <v>0</v>
      </c>
      <c r="S41" s="68">
        <f t="shared" si="4"/>
        <v>0</v>
      </c>
      <c r="T41" s="310">
        <f t="shared" si="5"/>
        <v>0</v>
      </c>
      <c r="V41" s="120">
        <f>'As-Filed Schedule 2J'!N41</f>
        <v>0</v>
      </c>
      <c r="W41" s="313">
        <f>SUMIFS(Adjustments!$G:$G,Adjustments!$H:$H,"2J",Adjustments!$I:$I,'Schedule 2J Adjustments'!$V$12,Adjustments!$J:$J,'Schedule 2J Adjustments'!$A41)</f>
        <v>0</v>
      </c>
      <c r="X41" s="309">
        <f t="shared" si="6"/>
        <v>0</v>
      </c>
      <c r="Y41" s="120">
        <f>'As-Filed Schedule 2J'!O41</f>
        <v>0</v>
      </c>
      <c r="Z41" s="313">
        <f>SUMIFS(Adjustments!$G:$G,Adjustments!$H:$H,"2J",Adjustments!$I:$I,'Schedule 2J Adjustments'!$Y$12,Adjustments!$J:$J,'Schedule 2J Adjustments'!$A41)</f>
        <v>0</v>
      </c>
      <c r="AA41" s="309">
        <f t="shared" si="7"/>
        <v>0</v>
      </c>
    </row>
    <row r="42" spans="1:27" x14ac:dyDescent="0.35">
      <c r="A42" s="24">
        <v>28</v>
      </c>
      <c r="B42" s="507" t="str">
        <f>IF('As-Filed Schedule 2J'!B42:D42=0,"",'As-Filed Schedule 2J'!B42:D42)</f>
        <v/>
      </c>
      <c r="C42" s="507"/>
      <c r="D42" s="507"/>
      <c r="F42" s="117">
        <f>'As-Filed Schedule 2J'!F42</f>
        <v>0</v>
      </c>
      <c r="G42" s="313">
        <f>SUMIFS(Adjustments!$G:$G,Adjustments!$H:$H,"2J",Adjustments!$I:$I,'Schedule 2J Adjustments'!$F$12,Adjustments!$J:$J,'Schedule 2J Adjustments'!$A42)</f>
        <v>0</v>
      </c>
      <c r="H42" s="309">
        <f t="shared" si="0"/>
        <v>0</v>
      </c>
      <c r="I42" s="68">
        <f>IFERROR(F42*'As-Filed Schedule 1'!$E$103,0)</f>
        <v>0</v>
      </c>
      <c r="J42" s="310">
        <f>IFERROR(H42*'Adjusted Schedule 1'!$E$104,0)</f>
        <v>0</v>
      </c>
      <c r="K42" s="68">
        <f t="shared" si="1"/>
        <v>0</v>
      </c>
      <c r="L42" s="310">
        <f t="shared" si="2"/>
        <v>0</v>
      </c>
      <c r="N42" s="117">
        <f>'As-Filed Schedule 2J'!J42</f>
        <v>0</v>
      </c>
      <c r="O42" s="313">
        <f>SUMIFS(Adjustments!$G:$G,Adjustments!$H:$H,"2J",Adjustments!$I:$I,'Schedule 2J Adjustments'!$N$12,Adjustments!$J:$J,'Schedule 2J Adjustments'!$A42)</f>
        <v>0</v>
      </c>
      <c r="P42" s="309">
        <f t="shared" si="3"/>
        <v>0</v>
      </c>
      <c r="Q42" s="68">
        <f>IFERROR(N42*'As-Filed Schedule 1'!$E$103,0)</f>
        <v>0</v>
      </c>
      <c r="R42" s="68">
        <f>IFERROR(P42*'Adjusted Schedule 1'!$E$104,0)</f>
        <v>0</v>
      </c>
      <c r="S42" s="68">
        <f t="shared" si="4"/>
        <v>0</v>
      </c>
      <c r="T42" s="310">
        <f t="shared" si="5"/>
        <v>0</v>
      </c>
      <c r="V42" s="120">
        <f>'As-Filed Schedule 2J'!N42</f>
        <v>0</v>
      </c>
      <c r="W42" s="313">
        <f>SUMIFS(Adjustments!$G:$G,Adjustments!$H:$H,"2J",Adjustments!$I:$I,'Schedule 2J Adjustments'!$V$12,Adjustments!$J:$J,'Schedule 2J Adjustments'!$A42)</f>
        <v>0</v>
      </c>
      <c r="X42" s="309">
        <f t="shared" si="6"/>
        <v>0</v>
      </c>
      <c r="Y42" s="120">
        <f>'As-Filed Schedule 2J'!O42</f>
        <v>0</v>
      </c>
      <c r="Z42" s="313">
        <f>SUMIFS(Adjustments!$G:$G,Adjustments!$H:$H,"2J",Adjustments!$I:$I,'Schedule 2J Adjustments'!$Y$12,Adjustments!$J:$J,'Schedule 2J Adjustments'!$A42)</f>
        <v>0</v>
      </c>
      <c r="AA42" s="309">
        <f t="shared" si="7"/>
        <v>0</v>
      </c>
    </row>
    <row r="43" spans="1:27" x14ac:dyDescent="0.35">
      <c r="A43" s="24">
        <v>29</v>
      </c>
      <c r="B43" s="507" t="str">
        <f>IF('As-Filed Schedule 2J'!B43:D43=0,"",'As-Filed Schedule 2J'!B43:D43)</f>
        <v/>
      </c>
      <c r="C43" s="507"/>
      <c r="D43" s="507"/>
      <c r="F43" s="117">
        <f>'As-Filed Schedule 2J'!F43</f>
        <v>0</v>
      </c>
      <c r="G43" s="313">
        <f>SUMIFS(Adjustments!$G:$G,Adjustments!$H:$H,"2J",Adjustments!$I:$I,'Schedule 2J Adjustments'!$F$12,Adjustments!$J:$J,'Schedule 2J Adjustments'!$A43)</f>
        <v>0</v>
      </c>
      <c r="H43" s="309">
        <f t="shared" si="0"/>
        <v>0</v>
      </c>
      <c r="I43" s="68">
        <f>IFERROR(F43*'As-Filed Schedule 1'!$E$103,0)</f>
        <v>0</v>
      </c>
      <c r="J43" s="310">
        <f>IFERROR(H43*'Adjusted Schedule 1'!$E$104,0)</f>
        <v>0</v>
      </c>
      <c r="K43" s="68">
        <f t="shared" si="1"/>
        <v>0</v>
      </c>
      <c r="L43" s="310">
        <f t="shared" si="2"/>
        <v>0</v>
      </c>
      <c r="N43" s="117">
        <f>'As-Filed Schedule 2J'!J43</f>
        <v>0</v>
      </c>
      <c r="O43" s="313">
        <f>SUMIFS(Adjustments!$G:$G,Adjustments!$H:$H,"2J",Adjustments!$I:$I,'Schedule 2J Adjustments'!$N$12,Adjustments!$J:$J,'Schedule 2J Adjustments'!$A43)</f>
        <v>0</v>
      </c>
      <c r="P43" s="309">
        <f t="shared" si="3"/>
        <v>0</v>
      </c>
      <c r="Q43" s="68">
        <f>IFERROR(N43*'As-Filed Schedule 1'!$E$103,0)</f>
        <v>0</v>
      </c>
      <c r="R43" s="68">
        <f>IFERROR(P43*'Adjusted Schedule 1'!$E$104,0)</f>
        <v>0</v>
      </c>
      <c r="S43" s="68">
        <f t="shared" si="4"/>
        <v>0</v>
      </c>
      <c r="T43" s="310">
        <f t="shared" si="5"/>
        <v>0</v>
      </c>
      <c r="V43" s="120">
        <f>'As-Filed Schedule 2J'!N43</f>
        <v>0</v>
      </c>
      <c r="W43" s="313">
        <f>SUMIFS(Adjustments!$G:$G,Adjustments!$H:$H,"2J",Adjustments!$I:$I,'Schedule 2J Adjustments'!$V$12,Adjustments!$J:$J,'Schedule 2J Adjustments'!$A43)</f>
        <v>0</v>
      </c>
      <c r="X43" s="309">
        <f t="shared" si="6"/>
        <v>0</v>
      </c>
      <c r="Y43" s="120">
        <f>'As-Filed Schedule 2J'!O43</f>
        <v>0</v>
      </c>
      <c r="Z43" s="313">
        <f>SUMIFS(Adjustments!$G:$G,Adjustments!$H:$H,"2J",Adjustments!$I:$I,'Schedule 2J Adjustments'!$Y$12,Adjustments!$J:$J,'Schedule 2J Adjustments'!$A43)</f>
        <v>0</v>
      </c>
      <c r="AA43" s="309">
        <f t="shared" si="7"/>
        <v>0</v>
      </c>
    </row>
    <row r="44" spans="1:27" x14ac:dyDescent="0.35">
      <c r="A44" s="24">
        <v>30</v>
      </c>
      <c r="B44" s="507" t="str">
        <f>IF('As-Filed Schedule 2J'!B44:D44=0,"",'As-Filed Schedule 2J'!B44:D44)</f>
        <v/>
      </c>
      <c r="C44" s="507"/>
      <c r="D44" s="507"/>
      <c r="F44" s="117">
        <f>'As-Filed Schedule 2J'!F44</f>
        <v>0</v>
      </c>
      <c r="G44" s="313">
        <f>SUMIFS(Adjustments!$G:$G,Adjustments!$H:$H,"2J",Adjustments!$I:$I,'Schedule 2J Adjustments'!$F$12,Adjustments!$J:$J,'Schedule 2J Adjustments'!$A44)</f>
        <v>0</v>
      </c>
      <c r="H44" s="309">
        <f t="shared" si="0"/>
        <v>0</v>
      </c>
      <c r="I44" s="68">
        <f>IFERROR(F44*'As-Filed Schedule 1'!$E$103,0)</f>
        <v>0</v>
      </c>
      <c r="J44" s="310">
        <f>IFERROR(H44*'Adjusted Schedule 1'!$E$104,0)</f>
        <v>0</v>
      </c>
      <c r="K44" s="68">
        <f t="shared" si="1"/>
        <v>0</v>
      </c>
      <c r="L44" s="310">
        <f t="shared" si="2"/>
        <v>0</v>
      </c>
      <c r="N44" s="117">
        <f>'As-Filed Schedule 2J'!J44</f>
        <v>0</v>
      </c>
      <c r="O44" s="313">
        <f>SUMIFS(Adjustments!$G:$G,Adjustments!$H:$H,"2J",Adjustments!$I:$I,'Schedule 2J Adjustments'!$N$12,Adjustments!$J:$J,'Schedule 2J Adjustments'!$A44)</f>
        <v>0</v>
      </c>
      <c r="P44" s="309">
        <f t="shared" si="3"/>
        <v>0</v>
      </c>
      <c r="Q44" s="68">
        <f>IFERROR(N44*'As-Filed Schedule 1'!$E$103,0)</f>
        <v>0</v>
      </c>
      <c r="R44" s="68">
        <f>IFERROR(P44*'Adjusted Schedule 1'!$E$104,0)</f>
        <v>0</v>
      </c>
      <c r="S44" s="68">
        <f t="shared" si="4"/>
        <v>0</v>
      </c>
      <c r="T44" s="310">
        <f t="shared" si="5"/>
        <v>0</v>
      </c>
      <c r="V44" s="120">
        <f>'As-Filed Schedule 2J'!N44</f>
        <v>0</v>
      </c>
      <c r="W44" s="313">
        <f>SUMIFS(Adjustments!$G:$G,Adjustments!$H:$H,"2J",Adjustments!$I:$I,'Schedule 2J Adjustments'!$V$12,Adjustments!$J:$J,'Schedule 2J Adjustments'!$A44)</f>
        <v>0</v>
      </c>
      <c r="X44" s="309">
        <f t="shared" si="6"/>
        <v>0</v>
      </c>
      <c r="Y44" s="120">
        <f>'As-Filed Schedule 2J'!O44</f>
        <v>0</v>
      </c>
      <c r="Z44" s="313">
        <f>SUMIFS(Adjustments!$G:$G,Adjustments!$H:$H,"2J",Adjustments!$I:$I,'Schedule 2J Adjustments'!$Y$12,Adjustments!$J:$J,'Schedule 2J Adjustments'!$A44)</f>
        <v>0</v>
      </c>
      <c r="AA44" s="309">
        <f t="shared" si="7"/>
        <v>0</v>
      </c>
    </row>
    <row r="45" spans="1:27" x14ac:dyDescent="0.35">
      <c r="A45" s="24">
        <v>31</v>
      </c>
      <c r="B45" s="507" t="str">
        <f>IF('As-Filed Schedule 2J'!B45:D45=0,"",'As-Filed Schedule 2J'!B45:D45)</f>
        <v/>
      </c>
      <c r="C45" s="507"/>
      <c r="D45" s="507"/>
      <c r="F45" s="117">
        <f>'As-Filed Schedule 2J'!F45</f>
        <v>0</v>
      </c>
      <c r="G45" s="313">
        <f>SUMIFS(Adjustments!$G:$G,Adjustments!$H:$H,"2J",Adjustments!$I:$I,'Schedule 2J Adjustments'!$F$12,Adjustments!$J:$J,'Schedule 2J Adjustments'!$A45)</f>
        <v>0</v>
      </c>
      <c r="H45" s="309">
        <f t="shared" si="0"/>
        <v>0</v>
      </c>
      <c r="I45" s="68">
        <f>IFERROR(F45*'As-Filed Schedule 1'!$E$103,0)</f>
        <v>0</v>
      </c>
      <c r="J45" s="310">
        <f>IFERROR(H45*'Adjusted Schedule 1'!$E$104,0)</f>
        <v>0</v>
      </c>
      <c r="K45" s="68">
        <f t="shared" si="1"/>
        <v>0</v>
      </c>
      <c r="L45" s="310">
        <f t="shared" si="2"/>
        <v>0</v>
      </c>
      <c r="N45" s="117">
        <f>'As-Filed Schedule 2J'!J45</f>
        <v>0</v>
      </c>
      <c r="O45" s="313">
        <f>SUMIFS(Adjustments!$G:$G,Adjustments!$H:$H,"2J",Adjustments!$I:$I,'Schedule 2J Adjustments'!$N$12,Adjustments!$J:$J,'Schedule 2J Adjustments'!$A45)</f>
        <v>0</v>
      </c>
      <c r="P45" s="309">
        <f t="shared" si="3"/>
        <v>0</v>
      </c>
      <c r="Q45" s="68">
        <f>IFERROR(N45*'As-Filed Schedule 1'!$E$103,0)</f>
        <v>0</v>
      </c>
      <c r="R45" s="68">
        <f>IFERROR(P45*'Adjusted Schedule 1'!$E$104,0)</f>
        <v>0</v>
      </c>
      <c r="S45" s="68">
        <f t="shared" si="4"/>
        <v>0</v>
      </c>
      <c r="T45" s="310">
        <f t="shared" si="5"/>
        <v>0</v>
      </c>
      <c r="V45" s="120">
        <f>'As-Filed Schedule 2J'!N45</f>
        <v>0</v>
      </c>
      <c r="W45" s="313">
        <f>SUMIFS(Adjustments!$G:$G,Adjustments!$H:$H,"2J",Adjustments!$I:$I,'Schedule 2J Adjustments'!$V$12,Adjustments!$J:$J,'Schedule 2J Adjustments'!$A45)</f>
        <v>0</v>
      </c>
      <c r="X45" s="309">
        <f t="shared" si="6"/>
        <v>0</v>
      </c>
      <c r="Y45" s="120">
        <f>'As-Filed Schedule 2J'!O45</f>
        <v>0</v>
      </c>
      <c r="Z45" s="313">
        <f>SUMIFS(Adjustments!$G:$G,Adjustments!$H:$H,"2J",Adjustments!$I:$I,'Schedule 2J Adjustments'!$Y$12,Adjustments!$J:$J,'Schedule 2J Adjustments'!$A45)</f>
        <v>0</v>
      </c>
      <c r="AA45" s="309">
        <f t="shared" si="7"/>
        <v>0</v>
      </c>
    </row>
    <row r="46" spans="1:27" x14ac:dyDescent="0.35">
      <c r="A46" s="24">
        <v>32</v>
      </c>
      <c r="B46" s="507" t="str">
        <f>IF('As-Filed Schedule 2J'!B46:D46=0,"",'As-Filed Schedule 2J'!B46:D46)</f>
        <v/>
      </c>
      <c r="C46" s="507"/>
      <c r="D46" s="507"/>
      <c r="F46" s="117">
        <f>'As-Filed Schedule 2J'!F46</f>
        <v>0</v>
      </c>
      <c r="G46" s="313">
        <f>SUMIFS(Adjustments!$G:$G,Adjustments!$H:$H,"2J",Adjustments!$I:$I,'Schedule 2J Adjustments'!$F$12,Adjustments!$J:$J,'Schedule 2J Adjustments'!$A46)</f>
        <v>0</v>
      </c>
      <c r="H46" s="309">
        <f t="shared" si="0"/>
        <v>0</v>
      </c>
      <c r="I46" s="68">
        <f>IFERROR(F46*'As-Filed Schedule 1'!$E$103,0)</f>
        <v>0</v>
      </c>
      <c r="J46" s="310">
        <f>IFERROR(H46*'Adjusted Schedule 1'!$E$104,0)</f>
        <v>0</v>
      </c>
      <c r="K46" s="68">
        <f t="shared" si="1"/>
        <v>0</v>
      </c>
      <c r="L46" s="310">
        <f t="shared" si="2"/>
        <v>0</v>
      </c>
      <c r="N46" s="117">
        <f>'As-Filed Schedule 2J'!J46</f>
        <v>0</v>
      </c>
      <c r="O46" s="313">
        <f>SUMIFS(Adjustments!$G:$G,Adjustments!$H:$H,"2J",Adjustments!$I:$I,'Schedule 2J Adjustments'!$N$12,Adjustments!$J:$J,'Schedule 2J Adjustments'!$A46)</f>
        <v>0</v>
      </c>
      <c r="P46" s="309">
        <f t="shared" si="3"/>
        <v>0</v>
      </c>
      <c r="Q46" s="68">
        <f>IFERROR(N46*'As-Filed Schedule 1'!$E$103,0)</f>
        <v>0</v>
      </c>
      <c r="R46" s="68">
        <f>IFERROR(P46*'Adjusted Schedule 1'!$E$104,0)</f>
        <v>0</v>
      </c>
      <c r="S46" s="68">
        <f t="shared" si="4"/>
        <v>0</v>
      </c>
      <c r="T46" s="310">
        <f t="shared" si="5"/>
        <v>0</v>
      </c>
      <c r="V46" s="120">
        <f>'As-Filed Schedule 2J'!N46</f>
        <v>0</v>
      </c>
      <c r="W46" s="313">
        <f>SUMIFS(Adjustments!$G:$G,Adjustments!$H:$H,"2J",Adjustments!$I:$I,'Schedule 2J Adjustments'!$V$12,Adjustments!$J:$J,'Schedule 2J Adjustments'!$A46)</f>
        <v>0</v>
      </c>
      <c r="X46" s="309">
        <f t="shared" si="6"/>
        <v>0</v>
      </c>
      <c r="Y46" s="120">
        <f>'As-Filed Schedule 2J'!O46</f>
        <v>0</v>
      </c>
      <c r="Z46" s="313">
        <f>SUMIFS(Adjustments!$G:$G,Adjustments!$H:$H,"2J",Adjustments!$I:$I,'Schedule 2J Adjustments'!$Y$12,Adjustments!$J:$J,'Schedule 2J Adjustments'!$A46)</f>
        <v>0</v>
      </c>
      <c r="AA46" s="309">
        <f t="shared" si="7"/>
        <v>0</v>
      </c>
    </row>
    <row r="47" spans="1:27" x14ac:dyDescent="0.35">
      <c r="A47" s="24">
        <v>33</v>
      </c>
      <c r="B47" s="507" t="str">
        <f>IF('As-Filed Schedule 2J'!B47:D47=0,"",'As-Filed Schedule 2J'!B47:D47)</f>
        <v/>
      </c>
      <c r="C47" s="507"/>
      <c r="D47" s="507"/>
      <c r="F47" s="117">
        <f>'As-Filed Schedule 2J'!F47</f>
        <v>0</v>
      </c>
      <c r="G47" s="313">
        <f>SUMIFS(Adjustments!$G:$G,Adjustments!$H:$H,"2J",Adjustments!$I:$I,'Schedule 2J Adjustments'!$F$12,Adjustments!$J:$J,'Schedule 2J Adjustments'!$A47)</f>
        <v>0</v>
      </c>
      <c r="H47" s="309">
        <f t="shared" si="0"/>
        <v>0</v>
      </c>
      <c r="I47" s="68">
        <f>IFERROR(F47*'As-Filed Schedule 1'!$E$103,0)</f>
        <v>0</v>
      </c>
      <c r="J47" s="310">
        <f>IFERROR(H47*'Adjusted Schedule 1'!$E$104,0)</f>
        <v>0</v>
      </c>
      <c r="K47" s="68">
        <f t="shared" si="1"/>
        <v>0</v>
      </c>
      <c r="L47" s="310">
        <f t="shared" si="2"/>
        <v>0</v>
      </c>
      <c r="N47" s="117">
        <f>'As-Filed Schedule 2J'!J47</f>
        <v>0</v>
      </c>
      <c r="O47" s="313">
        <f>SUMIFS(Adjustments!$G:$G,Adjustments!$H:$H,"2J",Adjustments!$I:$I,'Schedule 2J Adjustments'!$N$12,Adjustments!$J:$J,'Schedule 2J Adjustments'!$A47)</f>
        <v>0</v>
      </c>
      <c r="P47" s="309">
        <f t="shared" si="3"/>
        <v>0</v>
      </c>
      <c r="Q47" s="68">
        <f>IFERROR(N47*'As-Filed Schedule 1'!$E$103,0)</f>
        <v>0</v>
      </c>
      <c r="R47" s="68">
        <f>IFERROR(P47*'Adjusted Schedule 1'!$E$104,0)</f>
        <v>0</v>
      </c>
      <c r="S47" s="68">
        <f t="shared" si="4"/>
        <v>0</v>
      </c>
      <c r="T47" s="310">
        <f t="shared" si="5"/>
        <v>0</v>
      </c>
      <c r="V47" s="120">
        <f>'As-Filed Schedule 2J'!N47</f>
        <v>0</v>
      </c>
      <c r="W47" s="313">
        <f>SUMIFS(Adjustments!$G:$G,Adjustments!$H:$H,"2J",Adjustments!$I:$I,'Schedule 2J Adjustments'!$V$12,Adjustments!$J:$J,'Schedule 2J Adjustments'!$A47)</f>
        <v>0</v>
      </c>
      <c r="X47" s="309">
        <f t="shared" si="6"/>
        <v>0</v>
      </c>
      <c r="Y47" s="120">
        <f>'As-Filed Schedule 2J'!O47</f>
        <v>0</v>
      </c>
      <c r="Z47" s="313">
        <f>SUMIFS(Adjustments!$G:$G,Adjustments!$H:$H,"2J",Adjustments!$I:$I,'Schedule 2J Adjustments'!$Y$12,Adjustments!$J:$J,'Schedule 2J Adjustments'!$A47)</f>
        <v>0</v>
      </c>
      <c r="AA47" s="309">
        <f t="shared" si="7"/>
        <v>0</v>
      </c>
    </row>
    <row r="48" spans="1:27" x14ac:dyDescent="0.35">
      <c r="A48" s="24">
        <v>34</v>
      </c>
      <c r="B48" s="507" t="str">
        <f>IF('As-Filed Schedule 2J'!B48:D48=0,"",'As-Filed Schedule 2J'!B48:D48)</f>
        <v/>
      </c>
      <c r="C48" s="507"/>
      <c r="D48" s="507"/>
      <c r="F48" s="117">
        <f>'As-Filed Schedule 2J'!F48</f>
        <v>0</v>
      </c>
      <c r="G48" s="313">
        <f>SUMIFS(Adjustments!$G:$G,Adjustments!$H:$H,"2J",Adjustments!$I:$I,'Schedule 2J Adjustments'!$F$12,Adjustments!$J:$J,'Schedule 2J Adjustments'!$A48)</f>
        <v>0</v>
      </c>
      <c r="H48" s="309">
        <f t="shared" si="0"/>
        <v>0</v>
      </c>
      <c r="I48" s="68">
        <f>IFERROR(F48*'As-Filed Schedule 1'!$E$103,0)</f>
        <v>0</v>
      </c>
      <c r="J48" s="310">
        <f>IFERROR(H48*'Adjusted Schedule 1'!$E$104,0)</f>
        <v>0</v>
      </c>
      <c r="K48" s="68">
        <f t="shared" si="1"/>
        <v>0</v>
      </c>
      <c r="L48" s="310">
        <f t="shared" si="2"/>
        <v>0</v>
      </c>
      <c r="N48" s="117">
        <f>'As-Filed Schedule 2J'!J48</f>
        <v>0</v>
      </c>
      <c r="O48" s="313">
        <f>SUMIFS(Adjustments!$G:$G,Adjustments!$H:$H,"2J",Adjustments!$I:$I,'Schedule 2J Adjustments'!$N$12,Adjustments!$J:$J,'Schedule 2J Adjustments'!$A48)</f>
        <v>0</v>
      </c>
      <c r="P48" s="309">
        <f t="shared" si="3"/>
        <v>0</v>
      </c>
      <c r="Q48" s="68">
        <f>IFERROR(N48*'As-Filed Schedule 1'!$E$103,0)</f>
        <v>0</v>
      </c>
      <c r="R48" s="68">
        <f>IFERROR(P48*'Adjusted Schedule 1'!$E$104,0)</f>
        <v>0</v>
      </c>
      <c r="S48" s="68">
        <f t="shared" si="4"/>
        <v>0</v>
      </c>
      <c r="T48" s="310">
        <f t="shared" si="5"/>
        <v>0</v>
      </c>
      <c r="V48" s="120">
        <f>'As-Filed Schedule 2J'!N48</f>
        <v>0</v>
      </c>
      <c r="W48" s="313">
        <f>SUMIFS(Adjustments!$G:$G,Adjustments!$H:$H,"2J",Adjustments!$I:$I,'Schedule 2J Adjustments'!$V$12,Adjustments!$J:$J,'Schedule 2J Adjustments'!$A48)</f>
        <v>0</v>
      </c>
      <c r="X48" s="309">
        <f t="shared" si="6"/>
        <v>0</v>
      </c>
      <c r="Y48" s="120">
        <f>'As-Filed Schedule 2J'!O48</f>
        <v>0</v>
      </c>
      <c r="Z48" s="313">
        <f>SUMIFS(Adjustments!$G:$G,Adjustments!$H:$H,"2J",Adjustments!$I:$I,'Schedule 2J Adjustments'!$Y$12,Adjustments!$J:$J,'Schedule 2J Adjustments'!$A48)</f>
        <v>0</v>
      </c>
      <c r="AA48" s="309">
        <f t="shared" si="7"/>
        <v>0</v>
      </c>
    </row>
    <row r="49" spans="1:27" x14ac:dyDescent="0.35">
      <c r="A49" s="24">
        <v>35</v>
      </c>
      <c r="B49" s="507" t="str">
        <f>IF('As-Filed Schedule 2J'!B49:D49=0,"",'As-Filed Schedule 2J'!B49:D49)</f>
        <v/>
      </c>
      <c r="C49" s="507"/>
      <c r="D49" s="507"/>
      <c r="F49" s="117">
        <f>'As-Filed Schedule 2J'!F49</f>
        <v>0</v>
      </c>
      <c r="G49" s="313">
        <f>SUMIFS(Adjustments!$G:$G,Adjustments!$H:$H,"2J",Adjustments!$I:$I,'Schedule 2J Adjustments'!$F$12,Adjustments!$J:$J,'Schedule 2J Adjustments'!$A49)</f>
        <v>0</v>
      </c>
      <c r="H49" s="309">
        <f t="shared" si="0"/>
        <v>0</v>
      </c>
      <c r="I49" s="68">
        <f>IFERROR(F49*'As-Filed Schedule 1'!$E$103,0)</f>
        <v>0</v>
      </c>
      <c r="J49" s="310">
        <f>IFERROR(H49*'Adjusted Schedule 1'!$E$104,0)</f>
        <v>0</v>
      </c>
      <c r="K49" s="68">
        <f t="shared" si="1"/>
        <v>0</v>
      </c>
      <c r="L49" s="310">
        <f t="shared" si="2"/>
        <v>0</v>
      </c>
      <c r="N49" s="117">
        <f>'As-Filed Schedule 2J'!J49</f>
        <v>0</v>
      </c>
      <c r="O49" s="313">
        <f>SUMIFS(Adjustments!$G:$G,Adjustments!$H:$H,"2J",Adjustments!$I:$I,'Schedule 2J Adjustments'!$N$12,Adjustments!$J:$J,'Schedule 2J Adjustments'!$A49)</f>
        <v>0</v>
      </c>
      <c r="P49" s="309">
        <f t="shared" si="3"/>
        <v>0</v>
      </c>
      <c r="Q49" s="68">
        <f>IFERROR(N49*'As-Filed Schedule 1'!$E$103,0)</f>
        <v>0</v>
      </c>
      <c r="R49" s="68">
        <f>IFERROR(P49*'Adjusted Schedule 1'!$E$104,0)</f>
        <v>0</v>
      </c>
      <c r="S49" s="68">
        <f t="shared" si="4"/>
        <v>0</v>
      </c>
      <c r="T49" s="310">
        <f t="shared" si="5"/>
        <v>0</v>
      </c>
      <c r="V49" s="120">
        <f>'As-Filed Schedule 2J'!N49</f>
        <v>0</v>
      </c>
      <c r="W49" s="313">
        <f>SUMIFS(Adjustments!$G:$G,Adjustments!$H:$H,"2J",Adjustments!$I:$I,'Schedule 2J Adjustments'!$V$12,Adjustments!$J:$J,'Schedule 2J Adjustments'!$A49)</f>
        <v>0</v>
      </c>
      <c r="X49" s="309">
        <f t="shared" si="6"/>
        <v>0</v>
      </c>
      <c r="Y49" s="120">
        <f>'As-Filed Schedule 2J'!O49</f>
        <v>0</v>
      </c>
      <c r="Z49" s="313">
        <f>SUMIFS(Adjustments!$G:$G,Adjustments!$H:$H,"2J",Adjustments!$I:$I,'Schedule 2J Adjustments'!$Y$12,Adjustments!$J:$J,'Schedule 2J Adjustments'!$A49)</f>
        <v>0</v>
      </c>
      <c r="AA49" s="309">
        <f t="shared" si="7"/>
        <v>0</v>
      </c>
    </row>
    <row r="50" spans="1:27" x14ac:dyDescent="0.35">
      <c r="A50" s="24">
        <v>36</v>
      </c>
      <c r="B50" s="507" t="str">
        <f>IF('As-Filed Schedule 2J'!B50:D50=0,"",'As-Filed Schedule 2J'!B50:D50)</f>
        <v/>
      </c>
      <c r="C50" s="507"/>
      <c r="D50" s="507"/>
      <c r="F50" s="117">
        <f>'As-Filed Schedule 2J'!F50</f>
        <v>0</v>
      </c>
      <c r="G50" s="313">
        <f>SUMIFS(Adjustments!$G:$G,Adjustments!$H:$H,"2J",Adjustments!$I:$I,'Schedule 2J Adjustments'!$F$12,Adjustments!$J:$J,'Schedule 2J Adjustments'!$A50)</f>
        <v>0</v>
      </c>
      <c r="H50" s="309">
        <f t="shared" si="0"/>
        <v>0</v>
      </c>
      <c r="I50" s="68">
        <f>IFERROR(F50*'As-Filed Schedule 1'!$E$103,0)</f>
        <v>0</v>
      </c>
      <c r="J50" s="310">
        <f>IFERROR(H50*'Adjusted Schedule 1'!$E$104,0)</f>
        <v>0</v>
      </c>
      <c r="K50" s="68">
        <f t="shared" si="1"/>
        <v>0</v>
      </c>
      <c r="L50" s="310">
        <f t="shared" si="2"/>
        <v>0</v>
      </c>
      <c r="N50" s="117">
        <f>'As-Filed Schedule 2J'!J50</f>
        <v>0</v>
      </c>
      <c r="O50" s="313">
        <f>SUMIFS(Adjustments!$G:$G,Adjustments!$H:$H,"2J",Adjustments!$I:$I,'Schedule 2J Adjustments'!$N$12,Adjustments!$J:$J,'Schedule 2J Adjustments'!$A50)</f>
        <v>0</v>
      </c>
      <c r="P50" s="309">
        <f t="shared" si="3"/>
        <v>0</v>
      </c>
      <c r="Q50" s="68">
        <f>IFERROR(N50*'As-Filed Schedule 1'!$E$103,0)</f>
        <v>0</v>
      </c>
      <c r="R50" s="68">
        <f>IFERROR(P50*'Adjusted Schedule 1'!$E$104,0)</f>
        <v>0</v>
      </c>
      <c r="S50" s="68">
        <f t="shared" si="4"/>
        <v>0</v>
      </c>
      <c r="T50" s="310">
        <f t="shared" si="5"/>
        <v>0</v>
      </c>
      <c r="V50" s="120">
        <f>'As-Filed Schedule 2J'!N50</f>
        <v>0</v>
      </c>
      <c r="W50" s="313">
        <f>SUMIFS(Adjustments!$G:$G,Adjustments!$H:$H,"2J",Adjustments!$I:$I,'Schedule 2J Adjustments'!$V$12,Adjustments!$J:$J,'Schedule 2J Adjustments'!$A50)</f>
        <v>0</v>
      </c>
      <c r="X50" s="309">
        <f t="shared" si="6"/>
        <v>0</v>
      </c>
      <c r="Y50" s="120">
        <f>'As-Filed Schedule 2J'!O50</f>
        <v>0</v>
      </c>
      <c r="Z50" s="313">
        <f>SUMIFS(Adjustments!$G:$G,Adjustments!$H:$H,"2J",Adjustments!$I:$I,'Schedule 2J Adjustments'!$Y$12,Adjustments!$J:$J,'Schedule 2J Adjustments'!$A50)</f>
        <v>0</v>
      </c>
      <c r="AA50" s="309">
        <f t="shared" si="7"/>
        <v>0</v>
      </c>
    </row>
    <row r="51" spans="1:27" x14ac:dyDescent="0.35">
      <c r="A51" s="24">
        <v>37</v>
      </c>
      <c r="B51" s="507" t="str">
        <f>IF('As-Filed Schedule 2J'!B51:D51=0,"",'As-Filed Schedule 2J'!B51:D51)</f>
        <v/>
      </c>
      <c r="C51" s="507"/>
      <c r="D51" s="507"/>
      <c r="F51" s="117">
        <f>'As-Filed Schedule 2J'!F51</f>
        <v>0</v>
      </c>
      <c r="G51" s="313">
        <f>SUMIFS(Adjustments!$G:$G,Adjustments!$H:$H,"2J",Adjustments!$I:$I,'Schedule 2J Adjustments'!$F$12,Adjustments!$J:$J,'Schedule 2J Adjustments'!$A51)</f>
        <v>0</v>
      </c>
      <c r="H51" s="309">
        <f t="shared" si="0"/>
        <v>0</v>
      </c>
      <c r="I51" s="68">
        <f>IFERROR(F51*'As-Filed Schedule 1'!$E$103,0)</f>
        <v>0</v>
      </c>
      <c r="J51" s="310">
        <f>IFERROR(H51*'Adjusted Schedule 1'!$E$104,0)</f>
        <v>0</v>
      </c>
      <c r="K51" s="68">
        <f t="shared" si="1"/>
        <v>0</v>
      </c>
      <c r="L51" s="310">
        <f t="shared" si="2"/>
        <v>0</v>
      </c>
      <c r="N51" s="117">
        <f>'As-Filed Schedule 2J'!J51</f>
        <v>0</v>
      </c>
      <c r="O51" s="313">
        <f>SUMIFS(Adjustments!$G:$G,Adjustments!$H:$H,"2J",Adjustments!$I:$I,'Schedule 2J Adjustments'!$N$12,Adjustments!$J:$J,'Schedule 2J Adjustments'!$A51)</f>
        <v>0</v>
      </c>
      <c r="P51" s="309">
        <f t="shared" si="3"/>
        <v>0</v>
      </c>
      <c r="Q51" s="68">
        <f>IFERROR(N51*'As-Filed Schedule 1'!$E$103,0)</f>
        <v>0</v>
      </c>
      <c r="R51" s="68">
        <f>IFERROR(P51*'Adjusted Schedule 1'!$E$104,0)</f>
        <v>0</v>
      </c>
      <c r="S51" s="68">
        <f t="shared" si="4"/>
        <v>0</v>
      </c>
      <c r="T51" s="310">
        <f t="shared" si="5"/>
        <v>0</v>
      </c>
      <c r="V51" s="120">
        <f>'As-Filed Schedule 2J'!N51</f>
        <v>0</v>
      </c>
      <c r="W51" s="313">
        <f>SUMIFS(Adjustments!$G:$G,Adjustments!$H:$H,"2J",Adjustments!$I:$I,'Schedule 2J Adjustments'!$V$12,Adjustments!$J:$J,'Schedule 2J Adjustments'!$A51)</f>
        <v>0</v>
      </c>
      <c r="X51" s="309">
        <f t="shared" si="6"/>
        <v>0</v>
      </c>
      <c r="Y51" s="120">
        <f>'As-Filed Schedule 2J'!O51</f>
        <v>0</v>
      </c>
      <c r="Z51" s="313">
        <f>SUMIFS(Adjustments!$G:$G,Adjustments!$H:$H,"2J",Adjustments!$I:$I,'Schedule 2J Adjustments'!$Y$12,Adjustments!$J:$J,'Schedule 2J Adjustments'!$A51)</f>
        <v>0</v>
      </c>
      <c r="AA51" s="309">
        <f t="shared" si="7"/>
        <v>0</v>
      </c>
    </row>
    <row r="52" spans="1:27" x14ac:dyDescent="0.35">
      <c r="A52" s="24">
        <v>38</v>
      </c>
      <c r="B52" s="507" t="str">
        <f>IF('As-Filed Schedule 2J'!B52:D52=0,"",'As-Filed Schedule 2J'!B52:D52)</f>
        <v/>
      </c>
      <c r="C52" s="507"/>
      <c r="D52" s="507"/>
      <c r="F52" s="117">
        <f>'As-Filed Schedule 2J'!F52</f>
        <v>0</v>
      </c>
      <c r="G52" s="313">
        <f>SUMIFS(Adjustments!$G:$G,Adjustments!$H:$H,"2J",Adjustments!$I:$I,'Schedule 2J Adjustments'!$F$12,Adjustments!$J:$J,'Schedule 2J Adjustments'!$A52)</f>
        <v>0</v>
      </c>
      <c r="H52" s="309">
        <f t="shared" si="0"/>
        <v>0</v>
      </c>
      <c r="I52" s="68">
        <f>IFERROR(F52*'As-Filed Schedule 1'!$E$103,0)</f>
        <v>0</v>
      </c>
      <c r="J52" s="310">
        <f>IFERROR(H52*'Adjusted Schedule 1'!$E$104,0)</f>
        <v>0</v>
      </c>
      <c r="K52" s="68">
        <f t="shared" si="1"/>
        <v>0</v>
      </c>
      <c r="L52" s="310">
        <f t="shared" si="2"/>
        <v>0</v>
      </c>
      <c r="N52" s="117">
        <f>'As-Filed Schedule 2J'!J52</f>
        <v>0</v>
      </c>
      <c r="O52" s="313">
        <f>SUMIFS(Adjustments!$G:$G,Adjustments!$H:$H,"2J",Adjustments!$I:$I,'Schedule 2J Adjustments'!$N$12,Adjustments!$J:$J,'Schedule 2J Adjustments'!$A52)</f>
        <v>0</v>
      </c>
      <c r="P52" s="309">
        <f t="shared" si="3"/>
        <v>0</v>
      </c>
      <c r="Q52" s="68">
        <f>IFERROR(N52*'As-Filed Schedule 1'!$E$103,0)</f>
        <v>0</v>
      </c>
      <c r="R52" s="68">
        <f>IFERROR(P52*'Adjusted Schedule 1'!$E$104,0)</f>
        <v>0</v>
      </c>
      <c r="S52" s="68">
        <f t="shared" si="4"/>
        <v>0</v>
      </c>
      <c r="T52" s="310">
        <f t="shared" si="5"/>
        <v>0</v>
      </c>
      <c r="V52" s="120">
        <f>'As-Filed Schedule 2J'!N52</f>
        <v>0</v>
      </c>
      <c r="W52" s="313">
        <f>SUMIFS(Adjustments!$G:$G,Adjustments!$H:$H,"2J",Adjustments!$I:$I,'Schedule 2J Adjustments'!$V$12,Adjustments!$J:$J,'Schedule 2J Adjustments'!$A52)</f>
        <v>0</v>
      </c>
      <c r="X52" s="309">
        <f t="shared" si="6"/>
        <v>0</v>
      </c>
      <c r="Y52" s="120">
        <f>'As-Filed Schedule 2J'!O52</f>
        <v>0</v>
      </c>
      <c r="Z52" s="313">
        <f>SUMIFS(Adjustments!$G:$G,Adjustments!$H:$H,"2J",Adjustments!$I:$I,'Schedule 2J Adjustments'!$Y$12,Adjustments!$J:$J,'Schedule 2J Adjustments'!$A52)</f>
        <v>0</v>
      </c>
      <c r="AA52" s="309">
        <f t="shared" si="7"/>
        <v>0</v>
      </c>
    </row>
    <row r="53" spans="1:27" x14ac:dyDescent="0.35">
      <c r="A53" s="24">
        <v>39</v>
      </c>
      <c r="B53" s="507" t="str">
        <f>IF('As-Filed Schedule 2J'!B53:D53=0,"",'As-Filed Schedule 2J'!B53:D53)</f>
        <v/>
      </c>
      <c r="C53" s="507"/>
      <c r="D53" s="507"/>
      <c r="F53" s="117">
        <f>'As-Filed Schedule 2J'!F53</f>
        <v>0</v>
      </c>
      <c r="G53" s="313">
        <f>SUMIFS(Adjustments!$G:$G,Adjustments!$H:$H,"2J",Adjustments!$I:$I,'Schedule 2J Adjustments'!$F$12,Adjustments!$J:$J,'Schedule 2J Adjustments'!$A53)</f>
        <v>0</v>
      </c>
      <c r="H53" s="309">
        <f t="shared" si="0"/>
        <v>0</v>
      </c>
      <c r="I53" s="68">
        <f>IFERROR(F53*'As-Filed Schedule 1'!$E$103,0)</f>
        <v>0</v>
      </c>
      <c r="J53" s="310">
        <f>IFERROR(H53*'Adjusted Schedule 1'!$E$104,0)</f>
        <v>0</v>
      </c>
      <c r="K53" s="68">
        <f t="shared" si="1"/>
        <v>0</v>
      </c>
      <c r="L53" s="310">
        <f t="shared" si="2"/>
        <v>0</v>
      </c>
      <c r="N53" s="117">
        <f>'As-Filed Schedule 2J'!J53</f>
        <v>0</v>
      </c>
      <c r="O53" s="313">
        <f>SUMIFS(Adjustments!$G:$G,Adjustments!$H:$H,"2J",Adjustments!$I:$I,'Schedule 2J Adjustments'!$N$12,Adjustments!$J:$J,'Schedule 2J Adjustments'!$A53)</f>
        <v>0</v>
      </c>
      <c r="P53" s="309">
        <f t="shared" si="3"/>
        <v>0</v>
      </c>
      <c r="Q53" s="68">
        <f>IFERROR(N53*'As-Filed Schedule 1'!$E$103,0)</f>
        <v>0</v>
      </c>
      <c r="R53" s="68">
        <f>IFERROR(P53*'Adjusted Schedule 1'!$E$104,0)</f>
        <v>0</v>
      </c>
      <c r="S53" s="68">
        <f t="shared" si="4"/>
        <v>0</v>
      </c>
      <c r="T53" s="310">
        <f t="shared" si="5"/>
        <v>0</v>
      </c>
      <c r="V53" s="120">
        <f>'As-Filed Schedule 2J'!N53</f>
        <v>0</v>
      </c>
      <c r="W53" s="313">
        <f>SUMIFS(Adjustments!$G:$G,Adjustments!$H:$H,"2J",Adjustments!$I:$I,'Schedule 2J Adjustments'!$V$12,Adjustments!$J:$J,'Schedule 2J Adjustments'!$A53)</f>
        <v>0</v>
      </c>
      <c r="X53" s="309">
        <f t="shared" si="6"/>
        <v>0</v>
      </c>
      <c r="Y53" s="120">
        <f>'As-Filed Schedule 2J'!O53</f>
        <v>0</v>
      </c>
      <c r="Z53" s="313">
        <f>SUMIFS(Adjustments!$G:$G,Adjustments!$H:$H,"2J",Adjustments!$I:$I,'Schedule 2J Adjustments'!$Y$12,Adjustments!$J:$J,'Schedule 2J Adjustments'!$A53)</f>
        <v>0</v>
      </c>
      <c r="AA53" s="309">
        <f t="shared" si="7"/>
        <v>0</v>
      </c>
    </row>
    <row r="54" spans="1:27" x14ac:dyDescent="0.35">
      <c r="A54" s="24">
        <v>40</v>
      </c>
      <c r="B54" s="507" t="str">
        <f>IF('As-Filed Schedule 2J'!B54:D54=0,"",'As-Filed Schedule 2J'!B54:D54)</f>
        <v/>
      </c>
      <c r="C54" s="507"/>
      <c r="D54" s="507"/>
      <c r="F54" s="117">
        <f>'As-Filed Schedule 2J'!F54</f>
        <v>0</v>
      </c>
      <c r="G54" s="313">
        <f>SUMIFS(Adjustments!$G:$G,Adjustments!$H:$H,"2J",Adjustments!$I:$I,'Schedule 2J Adjustments'!$F$12,Adjustments!$J:$J,'Schedule 2J Adjustments'!$A54)</f>
        <v>0</v>
      </c>
      <c r="H54" s="309">
        <f t="shared" si="0"/>
        <v>0</v>
      </c>
      <c r="I54" s="68">
        <f>IFERROR(F54*'As-Filed Schedule 1'!$E$103,0)</f>
        <v>0</v>
      </c>
      <c r="J54" s="310">
        <f>IFERROR(H54*'Adjusted Schedule 1'!$E$104,0)</f>
        <v>0</v>
      </c>
      <c r="K54" s="68">
        <f t="shared" si="1"/>
        <v>0</v>
      </c>
      <c r="L54" s="310">
        <f t="shared" si="2"/>
        <v>0</v>
      </c>
      <c r="N54" s="117">
        <f>'As-Filed Schedule 2J'!J54</f>
        <v>0</v>
      </c>
      <c r="O54" s="313">
        <f>SUMIFS(Adjustments!$G:$G,Adjustments!$H:$H,"2J",Adjustments!$I:$I,'Schedule 2J Adjustments'!$N$12,Adjustments!$J:$J,'Schedule 2J Adjustments'!$A54)</f>
        <v>0</v>
      </c>
      <c r="P54" s="309">
        <f t="shared" si="3"/>
        <v>0</v>
      </c>
      <c r="Q54" s="68">
        <f>IFERROR(N54*'As-Filed Schedule 1'!$E$103,0)</f>
        <v>0</v>
      </c>
      <c r="R54" s="68">
        <f>IFERROR(P54*'Adjusted Schedule 1'!$E$104,0)</f>
        <v>0</v>
      </c>
      <c r="S54" s="68">
        <f t="shared" si="4"/>
        <v>0</v>
      </c>
      <c r="T54" s="310">
        <f t="shared" si="5"/>
        <v>0</v>
      </c>
      <c r="V54" s="120">
        <f>'As-Filed Schedule 2J'!N54</f>
        <v>0</v>
      </c>
      <c r="W54" s="313">
        <f>SUMIFS(Adjustments!$G:$G,Adjustments!$H:$H,"2J",Adjustments!$I:$I,'Schedule 2J Adjustments'!$V$12,Adjustments!$J:$J,'Schedule 2J Adjustments'!$A54)</f>
        <v>0</v>
      </c>
      <c r="X54" s="309">
        <f t="shared" si="6"/>
        <v>0</v>
      </c>
      <c r="Y54" s="120">
        <f>'As-Filed Schedule 2J'!O54</f>
        <v>0</v>
      </c>
      <c r="Z54" s="313">
        <f>SUMIFS(Adjustments!$G:$G,Adjustments!$H:$H,"2J",Adjustments!$I:$I,'Schedule 2J Adjustments'!$Y$12,Adjustments!$J:$J,'Schedule 2J Adjustments'!$A54)</f>
        <v>0</v>
      </c>
      <c r="AA54" s="309">
        <f t="shared" si="7"/>
        <v>0</v>
      </c>
    </row>
    <row r="55" spans="1:27" x14ac:dyDescent="0.35">
      <c r="A55" s="24">
        <v>41</v>
      </c>
      <c r="B55" s="507" t="str">
        <f>IF('As-Filed Schedule 2J'!B55:D55=0,"",'As-Filed Schedule 2J'!B55:D55)</f>
        <v/>
      </c>
      <c r="C55" s="507"/>
      <c r="D55" s="507"/>
      <c r="F55" s="117">
        <f>'As-Filed Schedule 2J'!F55</f>
        <v>0</v>
      </c>
      <c r="G55" s="313">
        <f>SUMIFS(Adjustments!$G:$G,Adjustments!$H:$H,"2J",Adjustments!$I:$I,'Schedule 2J Adjustments'!$F$12,Adjustments!$J:$J,'Schedule 2J Adjustments'!$A55)</f>
        <v>0</v>
      </c>
      <c r="H55" s="309">
        <f t="shared" si="0"/>
        <v>0</v>
      </c>
      <c r="I55" s="68">
        <f>IFERROR(F55*'As-Filed Schedule 1'!$E$103,0)</f>
        <v>0</v>
      </c>
      <c r="J55" s="310">
        <f>IFERROR(H55*'Adjusted Schedule 1'!$E$104,0)</f>
        <v>0</v>
      </c>
      <c r="K55" s="68">
        <f t="shared" si="1"/>
        <v>0</v>
      </c>
      <c r="L55" s="310">
        <f t="shared" si="2"/>
        <v>0</v>
      </c>
      <c r="N55" s="117">
        <f>'As-Filed Schedule 2J'!J55</f>
        <v>0</v>
      </c>
      <c r="O55" s="313">
        <f>SUMIFS(Adjustments!$G:$G,Adjustments!$H:$H,"2J",Adjustments!$I:$I,'Schedule 2J Adjustments'!$N$12,Adjustments!$J:$J,'Schedule 2J Adjustments'!$A55)</f>
        <v>0</v>
      </c>
      <c r="P55" s="309">
        <f t="shared" si="3"/>
        <v>0</v>
      </c>
      <c r="Q55" s="68">
        <f>IFERROR(N55*'As-Filed Schedule 1'!$E$103,0)</f>
        <v>0</v>
      </c>
      <c r="R55" s="68">
        <f>IFERROR(P55*'Adjusted Schedule 1'!$E$104,0)</f>
        <v>0</v>
      </c>
      <c r="S55" s="68">
        <f t="shared" si="4"/>
        <v>0</v>
      </c>
      <c r="T55" s="310">
        <f t="shared" si="5"/>
        <v>0</v>
      </c>
      <c r="V55" s="120">
        <f>'As-Filed Schedule 2J'!N55</f>
        <v>0</v>
      </c>
      <c r="W55" s="313">
        <f>SUMIFS(Adjustments!$G:$G,Adjustments!$H:$H,"2J",Adjustments!$I:$I,'Schedule 2J Adjustments'!$V$12,Adjustments!$J:$J,'Schedule 2J Adjustments'!$A55)</f>
        <v>0</v>
      </c>
      <c r="X55" s="309">
        <f t="shared" si="6"/>
        <v>0</v>
      </c>
      <c r="Y55" s="120">
        <f>'As-Filed Schedule 2J'!O55</f>
        <v>0</v>
      </c>
      <c r="Z55" s="313">
        <f>SUMIFS(Adjustments!$G:$G,Adjustments!$H:$H,"2J",Adjustments!$I:$I,'Schedule 2J Adjustments'!$Y$12,Adjustments!$J:$J,'Schedule 2J Adjustments'!$A55)</f>
        <v>0</v>
      </c>
      <c r="AA55" s="309">
        <f t="shared" si="7"/>
        <v>0</v>
      </c>
    </row>
    <row r="56" spans="1:27" x14ac:dyDescent="0.35">
      <c r="A56" s="24">
        <v>42</v>
      </c>
      <c r="B56" s="507" t="str">
        <f>IF('As-Filed Schedule 2J'!B56:D56=0,"",'As-Filed Schedule 2J'!B56:D56)</f>
        <v/>
      </c>
      <c r="C56" s="507"/>
      <c r="D56" s="507"/>
      <c r="F56" s="117">
        <f>'As-Filed Schedule 2J'!F56</f>
        <v>0</v>
      </c>
      <c r="G56" s="313">
        <f>SUMIFS(Adjustments!$G:$G,Adjustments!$H:$H,"2J",Adjustments!$I:$I,'Schedule 2J Adjustments'!$F$12,Adjustments!$J:$J,'Schedule 2J Adjustments'!$A56)</f>
        <v>0</v>
      </c>
      <c r="H56" s="309">
        <f t="shared" si="0"/>
        <v>0</v>
      </c>
      <c r="I56" s="68">
        <f>IFERROR(F56*'As-Filed Schedule 1'!$E$103,0)</f>
        <v>0</v>
      </c>
      <c r="J56" s="310">
        <f>IFERROR(H56*'Adjusted Schedule 1'!$E$104,0)</f>
        <v>0</v>
      </c>
      <c r="K56" s="68">
        <f t="shared" si="1"/>
        <v>0</v>
      </c>
      <c r="L56" s="310">
        <f t="shared" si="2"/>
        <v>0</v>
      </c>
      <c r="N56" s="117">
        <f>'As-Filed Schedule 2J'!J56</f>
        <v>0</v>
      </c>
      <c r="O56" s="313">
        <f>SUMIFS(Adjustments!$G:$G,Adjustments!$H:$H,"2J",Adjustments!$I:$I,'Schedule 2J Adjustments'!$N$12,Adjustments!$J:$J,'Schedule 2J Adjustments'!$A56)</f>
        <v>0</v>
      </c>
      <c r="P56" s="309">
        <f t="shared" si="3"/>
        <v>0</v>
      </c>
      <c r="Q56" s="68">
        <f>IFERROR(N56*'As-Filed Schedule 1'!$E$103,0)</f>
        <v>0</v>
      </c>
      <c r="R56" s="68">
        <f>IFERROR(P56*'Adjusted Schedule 1'!$E$104,0)</f>
        <v>0</v>
      </c>
      <c r="S56" s="68">
        <f t="shared" si="4"/>
        <v>0</v>
      </c>
      <c r="T56" s="310">
        <f t="shared" si="5"/>
        <v>0</v>
      </c>
      <c r="V56" s="120">
        <f>'As-Filed Schedule 2J'!N56</f>
        <v>0</v>
      </c>
      <c r="W56" s="313">
        <f>SUMIFS(Adjustments!$G:$G,Adjustments!$H:$H,"2J",Adjustments!$I:$I,'Schedule 2J Adjustments'!$V$12,Adjustments!$J:$J,'Schedule 2J Adjustments'!$A56)</f>
        <v>0</v>
      </c>
      <c r="X56" s="309">
        <f t="shared" si="6"/>
        <v>0</v>
      </c>
      <c r="Y56" s="120">
        <f>'As-Filed Schedule 2J'!O56</f>
        <v>0</v>
      </c>
      <c r="Z56" s="313">
        <f>SUMIFS(Adjustments!$G:$G,Adjustments!$H:$H,"2J",Adjustments!$I:$I,'Schedule 2J Adjustments'!$Y$12,Adjustments!$J:$J,'Schedule 2J Adjustments'!$A56)</f>
        <v>0</v>
      </c>
      <c r="AA56" s="309">
        <f t="shared" si="7"/>
        <v>0</v>
      </c>
    </row>
    <row r="57" spans="1:27" x14ac:dyDescent="0.35">
      <c r="A57" s="24">
        <v>43</v>
      </c>
      <c r="B57" s="507" t="str">
        <f>IF('As-Filed Schedule 2J'!B57:D57=0,"",'As-Filed Schedule 2J'!B57:D57)</f>
        <v/>
      </c>
      <c r="C57" s="507"/>
      <c r="D57" s="507"/>
      <c r="F57" s="117">
        <f>'As-Filed Schedule 2J'!F57</f>
        <v>0</v>
      </c>
      <c r="G57" s="313">
        <f>SUMIFS(Adjustments!$G:$G,Adjustments!$H:$H,"2J",Adjustments!$I:$I,'Schedule 2J Adjustments'!$F$12,Adjustments!$J:$J,'Schedule 2J Adjustments'!$A57)</f>
        <v>0</v>
      </c>
      <c r="H57" s="309">
        <f t="shared" si="0"/>
        <v>0</v>
      </c>
      <c r="I57" s="68">
        <f>IFERROR(F57*'As-Filed Schedule 1'!$E$103,0)</f>
        <v>0</v>
      </c>
      <c r="J57" s="310">
        <f>IFERROR(H57*'Adjusted Schedule 1'!$E$104,0)</f>
        <v>0</v>
      </c>
      <c r="K57" s="68">
        <f t="shared" si="1"/>
        <v>0</v>
      </c>
      <c r="L57" s="310">
        <f t="shared" si="2"/>
        <v>0</v>
      </c>
      <c r="N57" s="117">
        <f>'As-Filed Schedule 2J'!J57</f>
        <v>0</v>
      </c>
      <c r="O57" s="313">
        <f>SUMIFS(Adjustments!$G:$G,Adjustments!$H:$H,"2J",Adjustments!$I:$I,'Schedule 2J Adjustments'!$N$12,Adjustments!$J:$J,'Schedule 2J Adjustments'!$A57)</f>
        <v>0</v>
      </c>
      <c r="P57" s="309">
        <f t="shared" si="3"/>
        <v>0</v>
      </c>
      <c r="Q57" s="68">
        <f>IFERROR(N57*'As-Filed Schedule 1'!$E$103,0)</f>
        <v>0</v>
      </c>
      <c r="R57" s="68">
        <f>IFERROR(P57*'Adjusted Schedule 1'!$E$104,0)</f>
        <v>0</v>
      </c>
      <c r="S57" s="68">
        <f t="shared" si="4"/>
        <v>0</v>
      </c>
      <c r="T57" s="310">
        <f t="shared" si="5"/>
        <v>0</v>
      </c>
      <c r="V57" s="120">
        <f>'As-Filed Schedule 2J'!N57</f>
        <v>0</v>
      </c>
      <c r="W57" s="313">
        <f>SUMIFS(Adjustments!$G:$G,Adjustments!$H:$H,"2J",Adjustments!$I:$I,'Schedule 2J Adjustments'!$V$12,Adjustments!$J:$J,'Schedule 2J Adjustments'!$A57)</f>
        <v>0</v>
      </c>
      <c r="X57" s="309">
        <f t="shared" si="6"/>
        <v>0</v>
      </c>
      <c r="Y57" s="120">
        <f>'As-Filed Schedule 2J'!O57</f>
        <v>0</v>
      </c>
      <c r="Z57" s="313">
        <f>SUMIFS(Adjustments!$G:$G,Adjustments!$H:$H,"2J",Adjustments!$I:$I,'Schedule 2J Adjustments'!$Y$12,Adjustments!$J:$J,'Schedule 2J Adjustments'!$A57)</f>
        <v>0</v>
      </c>
      <c r="AA57" s="309">
        <f t="shared" si="7"/>
        <v>0</v>
      </c>
    </row>
    <row r="58" spans="1:27" x14ac:dyDescent="0.35">
      <c r="A58" s="24">
        <v>44</v>
      </c>
      <c r="B58" s="507" t="str">
        <f>IF('As-Filed Schedule 2J'!B58:D58=0,"",'As-Filed Schedule 2J'!B58:D58)</f>
        <v/>
      </c>
      <c r="C58" s="507"/>
      <c r="D58" s="507"/>
      <c r="F58" s="117">
        <f>'As-Filed Schedule 2J'!F58</f>
        <v>0</v>
      </c>
      <c r="G58" s="313">
        <f>SUMIFS(Adjustments!$G:$G,Adjustments!$H:$H,"2J",Adjustments!$I:$I,'Schedule 2J Adjustments'!$F$12,Adjustments!$J:$J,'Schedule 2J Adjustments'!$A58)</f>
        <v>0</v>
      </c>
      <c r="H58" s="309">
        <f t="shared" si="0"/>
        <v>0</v>
      </c>
      <c r="I58" s="68">
        <f>IFERROR(F58*'As-Filed Schedule 1'!$E$103,0)</f>
        <v>0</v>
      </c>
      <c r="J58" s="310">
        <f>IFERROR(H58*'Adjusted Schedule 1'!$E$104,0)</f>
        <v>0</v>
      </c>
      <c r="K58" s="68">
        <f t="shared" si="1"/>
        <v>0</v>
      </c>
      <c r="L58" s="310">
        <f t="shared" si="2"/>
        <v>0</v>
      </c>
      <c r="N58" s="117">
        <f>'As-Filed Schedule 2J'!J58</f>
        <v>0</v>
      </c>
      <c r="O58" s="313">
        <f>SUMIFS(Adjustments!$G:$G,Adjustments!$H:$H,"2J",Adjustments!$I:$I,'Schedule 2J Adjustments'!$N$12,Adjustments!$J:$J,'Schedule 2J Adjustments'!$A58)</f>
        <v>0</v>
      </c>
      <c r="P58" s="309">
        <f t="shared" si="3"/>
        <v>0</v>
      </c>
      <c r="Q58" s="68">
        <f>IFERROR(N58*'As-Filed Schedule 1'!$E$103,0)</f>
        <v>0</v>
      </c>
      <c r="R58" s="68">
        <f>IFERROR(P58*'Adjusted Schedule 1'!$E$104,0)</f>
        <v>0</v>
      </c>
      <c r="S58" s="68">
        <f t="shared" si="4"/>
        <v>0</v>
      </c>
      <c r="T58" s="310">
        <f t="shared" si="5"/>
        <v>0</v>
      </c>
      <c r="V58" s="120">
        <f>'As-Filed Schedule 2J'!N58</f>
        <v>0</v>
      </c>
      <c r="W58" s="313">
        <f>SUMIFS(Adjustments!$G:$G,Adjustments!$H:$H,"2J",Adjustments!$I:$I,'Schedule 2J Adjustments'!$V$12,Adjustments!$J:$J,'Schedule 2J Adjustments'!$A58)</f>
        <v>0</v>
      </c>
      <c r="X58" s="309">
        <f t="shared" si="6"/>
        <v>0</v>
      </c>
      <c r="Y58" s="120">
        <f>'As-Filed Schedule 2J'!O58</f>
        <v>0</v>
      </c>
      <c r="Z58" s="313">
        <f>SUMIFS(Adjustments!$G:$G,Adjustments!$H:$H,"2J",Adjustments!$I:$I,'Schedule 2J Adjustments'!$Y$12,Adjustments!$J:$J,'Schedule 2J Adjustments'!$A58)</f>
        <v>0</v>
      </c>
      <c r="AA58" s="309">
        <f t="shared" si="7"/>
        <v>0</v>
      </c>
    </row>
    <row r="59" spans="1:27" x14ac:dyDescent="0.35">
      <c r="A59" s="24">
        <v>45</v>
      </c>
      <c r="B59" s="507" t="str">
        <f>IF('As-Filed Schedule 2J'!B59:D59=0,"",'As-Filed Schedule 2J'!B59:D59)</f>
        <v/>
      </c>
      <c r="C59" s="507"/>
      <c r="D59" s="507"/>
      <c r="F59" s="117">
        <f>'As-Filed Schedule 2J'!F59</f>
        <v>0</v>
      </c>
      <c r="G59" s="313">
        <f>SUMIFS(Adjustments!$G:$G,Adjustments!$H:$H,"2J",Adjustments!$I:$I,'Schedule 2J Adjustments'!$F$12,Adjustments!$J:$J,'Schedule 2J Adjustments'!$A59)</f>
        <v>0</v>
      </c>
      <c r="H59" s="309">
        <f t="shared" si="0"/>
        <v>0</v>
      </c>
      <c r="I59" s="68">
        <f>IFERROR(F59*'As-Filed Schedule 1'!$E$103,0)</f>
        <v>0</v>
      </c>
      <c r="J59" s="310">
        <f>IFERROR(H59*'Adjusted Schedule 1'!$E$104,0)</f>
        <v>0</v>
      </c>
      <c r="K59" s="68">
        <f t="shared" si="1"/>
        <v>0</v>
      </c>
      <c r="L59" s="310">
        <f t="shared" si="2"/>
        <v>0</v>
      </c>
      <c r="N59" s="117">
        <f>'As-Filed Schedule 2J'!J59</f>
        <v>0</v>
      </c>
      <c r="O59" s="313">
        <f>SUMIFS(Adjustments!$G:$G,Adjustments!$H:$H,"2J",Adjustments!$I:$I,'Schedule 2J Adjustments'!$N$12,Adjustments!$J:$J,'Schedule 2J Adjustments'!$A59)</f>
        <v>0</v>
      </c>
      <c r="P59" s="309">
        <f t="shared" si="3"/>
        <v>0</v>
      </c>
      <c r="Q59" s="68">
        <f>IFERROR(N59*'As-Filed Schedule 1'!$E$103,0)</f>
        <v>0</v>
      </c>
      <c r="R59" s="68">
        <f>IFERROR(P59*'Adjusted Schedule 1'!$E$104,0)</f>
        <v>0</v>
      </c>
      <c r="S59" s="68">
        <f t="shared" si="4"/>
        <v>0</v>
      </c>
      <c r="T59" s="310">
        <f t="shared" si="5"/>
        <v>0</v>
      </c>
      <c r="V59" s="120">
        <f>'As-Filed Schedule 2J'!N59</f>
        <v>0</v>
      </c>
      <c r="W59" s="313">
        <f>SUMIFS(Adjustments!$G:$G,Adjustments!$H:$H,"2J",Adjustments!$I:$I,'Schedule 2J Adjustments'!$V$12,Adjustments!$J:$J,'Schedule 2J Adjustments'!$A59)</f>
        <v>0</v>
      </c>
      <c r="X59" s="309">
        <f t="shared" si="6"/>
        <v>0</v>
      </c>
      <c r="Y59" s="120">
        <f>'As-Filed Schedule 2J'!O59</f>
        <v>0</v>
      </c>
      <c r="Z59" s="313">
        <f>SUMIFS(Adjustments!$G:$G,Adjustments!$H:$H,"2J",Adjustments!$I:$I,'Schedule 2J Adjustments'!$Y$12,Adjustments!$J:$J,'Schedule 2J Adjustments'!$A59)</f>
        <v>0</v>
      </c>
      <c r="AA59" s="309">
        <f t="shared" si="7"/>
        <v>0</v>
      </c>
    </row>
    <row r="60" spans="1:27" x14ac:dyDescent="0.35">
      <c r="A60" s="24">
        <v>46</v>
      </c>
      <c r="B60" s="507" t="str">
        <f>IF('As-Filed Schedule 2J'!B60:D60=0,"",'As-Filed Schedule 2J'!B60:D60)</f>
        <v/>
      </c>
      <c r="C60" s="507"/>
      <c r="D60" s="507"/>
      <c r="F60" s="117">
        <f>'As-Filed Schedule 2J'!F60</f>
        <v>0</v>
      </c>
      <c r="G60" s="313">
        <f>SUMIFS(Adjustments!$G:$G,Adjustments!$H:$H,"2J",Adjustments!$I:$I,'Schedule 2J Adjustments'!$F$12,Adjustments!$J:$J,'Schedule 2J Adjustments'!$A60)</f>
        <v>0</v>
      </c>
      <c r="H60" s="309">
        <f t="shared" si="0"/>
        <v>0</v>
      </c>
      <c r="I60" s="68">
        <f>IFERROR(F60*'As-Filed Schedule 1'!$E$103,0)</f>
        <v>0</v>
      </c>
      <c r="J60" s="310">
        <f>IFERROR(H60*'Adjusted Schedule 1'!$E$104,0)</f>
        <v>0</v>
      </c>
      <c r="K60" s="68">
        <f t="shared" si="1"/>
        <v>0</v>
      </c>
      <c r="L60" s="310">
        <f t="shared" si="2"/>
        <v>0</v>
      </c>
      <c r="N60" s="117">
        <f>'As-Filed Schedule 2J'!J60</f>
        <v>0</v>
      </c>
      <c r="O60" s="313">
        <f>SUMIFS(Adjustments!$G:$G,Adjustments!$H:$H,"2J",Adjustments!$I:$I,'Schedule 2J Adjustments'!$N$12,Adjustments!$J:$J,'Schedule 2J Adjustments'!$A60)</f>
        <v>0</v>
      </c>
      <c r="P60" s="309">
        <f t="shared" si="3"/>
        <v>0</v>
      </c>
      <c r="Q60" s="68">
        <f>IFERROR(N60*'As-Filed Schedule 1'!$E$103,0)</f>
        <v>0</v>
      </c>
      <c r="R60" s="68">
        <f>IFERROR(P60*'Adjusted Schedule 1'!$E$104,0)</f>
        <v>0</v>
      </c>
      <c r="S60" s="68">
        <f t="shared" si="4"/>
        <v>0</v>
      </c>
      <c r="T60" s="310">
        <f t="shared" si="5"/>
        <v>0</v>
      </c>
      <c r="V60" s="120">
        <f>'As-Filed Schedule 2J'!N60</f>
        <v>0</v>
      </c>
      <c r="W60" s="313">
        <f>SUMIFS(Adjustments!$G:$G,Adjustments!$H:$H,"2J",Adjustments!$I:$I,'Schedule 2J Adjustments'!$V$12,Adjustments!$J:$J,'Schedule 2J Adjustments'!$A60)</f>
        <v>0</v>
      </c>
      <c r="X60" s="309">
        <f t="shared" si="6"/>
        <v>0</v>
      </c>
      <c r="Y60" s="120">
        <f>'As-Filed Schedule 2J'!O60</f>
        <v>0</v>
      </c>
      <c r="Z60" s="313">
        <f>SUMIFS(Adjustments!$G:$G,Adjustments!$H:$H,"2J",Adjustments!$I:$I,'Schedule 2J Adjustments'!$Y$12,Adjustments!$J:$J,'Schedule 2J Adjustments'!$A60)</f>
        <v>0</v>
      </c>
      <c r="AA60" s="309">
        <f t="shared" si="7"/>
        <v>0</v>
      </c>
    </row>
    <row r="61" spans="1:27" x14ac:dyDescent="0.35">
      <c r="A61" s="24">
        <v>47</v>
      </c>
      <c r="B61" s="507" t="str">
        <f>IF('As-Filed Schedule 2J'!B61:D61=0,"",'As-Filed Schedule 2J'!B61:D61)</f>
        <v/>
      </c>
      <c r="C61" s="507"/>
      <c r="D61" s="507"/>
      <c r="F61" s="117">
        <f>'As-Filed Schedule 2J'!F61</f>
        <v>0</v>
      </c>
      <c r="G61" s="313">
        <f>SUMIFS(Adjustments!$G:$G,Adjustments!$H:$H,"2J",Adjustments!$I:$I,'Schedule 2J Adjustments'!$F$12,Adjustments!$J:$J,'Schedule 2J Adjustments'!$A61)</f>
        <v>0</v>
      </c>
      <c r="H61" s="309">
        <f t="shared" si="0"/>
        <v>0</v>
      </c>
      <c r="I61" s="68">
        <f>IFERROR(F61*'As-Filed Schedule 1'!$E$103,0)</f>
        <v>0</v>
      </c>
      <c r="J61" s="310">
        <f>IFERROR(H61*'Adjusted Schedule 1'!$E$104,0)</f>
        <v>0</v>
      </c>
      <c r="K61" s="68">
        <f t="shared" si="1"/>
        <v>0</v>
      </c>
      <c r="L61" s="310">
        <f t="shared" si="2"/>
        <v>0</v>
      </c>
      <c r="N61" s="117">
        <f>'As-Filed Schedule 2J'!J61</f>
        <v>0</v>
      </c>
      <c r="O61" s="313">
        <f>SUMIFS(Adjustments!$G:$G,Adjustments!$H:$H,"2J",Adjustments!$I:$I,'Schedule 2J Adjustments'!$N$12,Adjustments!$J:$J,'Schedule 2J Adjustments'!$A61)</f>
        <v>0</v>
      </c>
      <c r="P61" s="309">
        <f t="shared" si="3"/>
        <v>0</v>
      </c>
      <c r="Q61" s="68">
        <f>IFERROR(N61*'As-Filed Schedule 1'!$E$103,0)</f>
        <v>0</v>
      </c>
      <c r="R61" s="68">
        <f>IFERROR(P61*'Adjusted Schedule 1'!$E$104,0)</f>
        <v>0</v>
      </c>
      <c r="S61" s="68">
        <f t="shared" si="4"/>
        <v>0</v>
      </c>
      <c r="T61" s="310">
        <f t="shared" si="5"/>
        <v>0</v>
      </c>
      <c r="V61" s="120">
        <f>'As-Filed Schedule 2J'!N61</f>
        <v>0</v>
      </c>
      <c r="W61" s="313">
        <f>SUMIFS(Adjustments!$G:$G,Adjustments!$H:$H,"2J",Adjustments!$I:$I,'Schedule 2J Adjustments'!$V$12,Adjustments!$J:$J,'Schedule 2J Adjustments'!$A61)</f>
        <v>0</v>
      </c>
      <c r="X61" s="309">
        <f t="shared" si="6"/>
        <v>0</v>
      </c>
      <c r="Y61" s="120">
        <f>'As-Filed Schedule 2J'!O61</f>
        <v>0</v>
      </c>
      <c r="Z61" s="313">
        <f>SUMIFS(Adjustments!$G:$G,Adjustments!$H:$H,"2J",Adjustments!$I:$I,'Schedule 2J Adjustments'!$Y$12,Adjustments!$J:$J,'Schedule 2J Adjustments'!$A61)</f>
        <v>0</v>
      </c>
      <c r="AA61" s="309">
        <f t="shared" si="7"/>
        <v>0</v>
      </c>
    </row>
    <row r="62" spans="1:27" x14ac:dyDescent="0.35">
      <c r="A62" s="24">
        <v>48</v>
      </c>
      <c r="B62" s="507" t="str">
        <f>IF('As-Filed Schedule 2J'!B62:D62=0,"",'As-Filed Schedule 2J'!B62:D62)</f>
        <v/>
      </c>
      <c r="C62" s="507"/>
      <c r="D62" s="507"/>
      <c r="F62" s="117">
        <f>'As-Filed Schedule 2J'!F62</f>
        <v>0</v>
      </c>
      <c r="G62" s="313">
        <f>SUMIFS(Adjustments!$G:$G,Adjustments!$H:$H,"2J",Adjustments!$I:$I,'Schedule 2J Adjustments'!$F$12,Adjustments!$J:$J,'Schedule 2J Adjustments'!$A62)</f>
        <v>0</v>
      </c>
      <c r="H62" s="309">
        <f t="shared" si="0"/>
        <v>0</v>
      </c>
      <c r="I62" s="68">
        <f>IFERROR(F62*'As-Filed Schedule 1'!$E$103,0)</f>
        <v>0</v>
      </c>
      <c r="J62" s="310">
        <f>IFERROR(H62*'Adjusted Schedule 1'!$E$104,0)</f>
        <v>0</v>
      </c>
      <c r="K62" s="68">
        <f t="shared" si="1"/>
        <v>0</v>
      </c>
      <c r="L62" s="310">
        <f t="shared" si="2"/>
        <v>0</v>
      </c>
      <c r="N62" s="117">
        <f>'As-Filed Schedule 2J'!J62</f>
        <v>0</v>
      </c>
      <c r="O62" s="313">
        <f>SUMIFS(Adjustments!$G:$G,Adjustments!$H:$H,"2J",Adjustments!$I:$I,'Schedule 2J Adjustments'!$N$12,Adjustments!$J:$J,'Schedule 2J Adjustments'!$A62)</f>
        <v>0</v>
      </c>
      <c r="P62" s="309">
        <f t="shared" si="3"/>
        <v>0</v>
      </c>
      <c r="Q62" s="68">
        <f>IFERROR(N62*'As-Filed Schedule 1'!$E$103,0)</f>
        <v>0</v>
      </c>
      <c r="R62" s="68">
        <f>IFERROR(P62*'Adjusted Schedule 1'!$E$104,0)</f>
        <v>0</v>
      </c>
      <c r="S62" s="68">
        <f t="shared" si="4"/>
        <v>0</v>
      </c>
      <c r="T62" s="310">
        <f t="shared" si="5"/>
        <v>0</v>
      </c>
      <c r="V62" s="120">
        <f>'As-Filed Schedule 2J'!N62</f>
        <v>0</v>
      </c>
      <c r="W62" s="313">
        <f>SUMIFS(Adjustments!$G:$G,Adjustments!$H:$H,"2J",Adjustments!$I:$I,'Schedule 2J Adjustments'!$V$12,Adjustments!$J:$J,'Schedule 2J Adjustments'!$A62)</f>
        <v>0</v>
      </c>
      <c r="X62" s="309">
        <f t="shared" si="6"/>
        <v>0</v>
      </c>
      <c r="Y62" s="120">
        <f>'As-Filed Schedule 2J'!O62</f>
        <v>0</v>
      </c>
      <c r="Z62" s="313">
        <f>SUMIFS(Adjustments!$G:$G,Adjustments!$H:$H,"2J",Adjustments!$I:$I,'Schedule 2J Adjustments'!$Y$12,Adjustments!$J:$J,'Schedule 2J Adjustments'!$A62)</f>
        <v>0</v>
      </c>
      <c r="AA62" s="309">
        <f t="shared" si="7"/>
        <v>0</v>
      </c>
    </row>
    <row r="63" spans="1:27" x14ac:dyDescent="0.35">
      <c r="A63" s="24">
        <v>49</v>
      </c>
      <c r="B63" s="507" t="str">
        <f>IF('As-Filed Schedule 2J'!B63:D63=0,"",'As-Filed Schedule 2J'!B63:D63)</f>
        <v/>
      </c>
      <c r="C63" s="507"/>
      <c r="D63" s="507"/>
      <c r="F63" s="117">
        <f>'As-Filed Schedule 2J'!F63</f>
        <v>0</v>
      </c>
      <c r="G63" s="313">
        <f>SUMIFS(Adjustments!$G:$G,Adjustments!$H:$H,"2J",Adjustments!$I:$I,'Schedule 2J Adjustments'!$F$12,Adjustments!$J:$J,'Schedule 2J Adjustments'!$A63)</f>
        <v>0</v>
      </c>
      <c r="H63" s="309">
        <f t="shared" si="0"/>
        <v>0</v>
      </c>
      <c r="I63" s="68">
        <f>IFERROR(F63*'As-Filed Schedule 1'!$E$103,0)</f>
        <v>0</v>
      </c>
      <c r="J63" s="310">
        <f>IFERROR(H63*'Adjusted Schedule 1'!$E$104,0)</f>
        <v>0</v>
      </c>
      <c r="K63" s="68">
        <f t="shared" si="1"/>
        <v>0</v>
      </c>
      <c r="L63" s="310">
        <f t="shared" si="2"/>
        <v>0</v>
      </c>
      <c r="N63" s="117">
        <f>'As-Filed Schedule 2J'!J63</f>
        <v>0</v>
      </c>
      <c r="O63" s="313">
        <f>SUMIFS(Adjustments!$G:$G,Adjustments!$H:$H,"2J",Adjustments!$I:$I,'Schedule 2J Adjustments'!$N$12,Adjustments!$J:$J,'Schedule 2J Adjustments'!$A63)</f>
        <v>0</v>
      </c>
      <c r="P63" s="309">
        <f t="shared" si="3"/>
        <v>0</v>
      </c>
      <c r="Q63" s="68">
        <f>IFERROR(N63*'As-Filed Schedule 1'!$E$103,0)</f>
        <v>0</v>
      </c>
      <c r="R63" s="68">
        <f>IFERROR(P63*'Adjusted Schedule 1'!$E$104,0)</f>
        <v>0</v>
      </c>
      <c r="S63" s="68">
        <f t="shared" si="4"/>
        <v>0</v>
      </c>
      <c r="T63" s="310">
        <f t="shared" si="5"/>
        <v>0</v>
      </c>
      <c r="V63" s="120">
        <f>'As-Filed Schedule 2J'!N63</f>
        <v>0</v>
      </c>
      <c r="W63" s="313">
        <f>SUMIFS(Adjustments!$G:$G,Adjustments!$H:$H,"2J",Adjustments!$I:$I,'Schedule 2J Adjustments'!$V$12,Adjustments!$J:$J,'Schedule 2J Adjustments'!$A63)</f>
        <v>0</v>
      </c>
      <c r="X63" s="309">
        <f t="shared" si="6"/>
        <v>0</v>
      </c>
      <c r="Y63" s="120">
        <f>'As-Filed Schedule 2J'!O63</f>
        <v>0</v>
      </c>
      <c r="Z63" s="313">
        <f>SUMIFS(Adjustments!$G:$G,Adjustments!$H:$H,"2J",Adjustments!$I:$I,'Schedule 2J Adjustments'!$Y$12,Adjustments!$J:$J,'Schedule 2J Adjustments'!$A63)</f>
        <v>0</v>
      </c>
      <c r="AA63" s="309">
        <f t="shared" si="7"/>
        <v>0</v>
      </c>
    </row>
    <row r="64" spans="1:27" x14ac:dyDescent="0.35">
      <c r="A64" s="24">
        <v>50</v>
      </c>
      <c r="B64" s="507" t="str">
        <f>IF('As-Filed Schedule 2J'!B64:D64=0,"",'As-Filed Schedule 2J'!B64:D64)</f>
        <v/>
      </c>
      <c r="C64" s="507"/>
      <c r="D64" s="507"/>
      <c r="F64" s="117">
        <f>'As-Filed Schedule 2J'!F64</f>
        <v>0</v>
      </c>
      <c r="G64" s="313">
        <f>SUMIFS(Adjustments!$G:$G,Adjustments!$H:$H,"2J",Adjustments!$I:$I,'Schedule 2J Adjustments'!$F$12,Adjustments!$J:$J,'Schedule 2J Adjustments'!$A64)</f>
        <v>0</v>
      </c>
      <c r="H64" s="309">
        <f t="shared" si="0"/>
        <v>0</v>
      </c>
      <c r="I64" s="68">
        <f>IFERROR(F64*'As-Filed Schedule 1'!$E$103,0)</f>
        <v>0</v>
      </c>
      <c r="J64" s="310">
        <f>IFERROR(H64*'Adjusted Schedule 1'!$E$104,0)</f>
        <v>0</v>
      </c>
      <c r="K64" s="68">
        <f t="shared" si="1"/>
        <v>0</v>
      </c>
      <c r="L64" s="310">
        <f t="shared" si="2"/>
        <v>0</v>
      </c>
      <c r="N64" s="117">
        <f>'As-Filed Schedule 2J'!J64</f>
        <v>0</v>
      </c>
      <c r="O64" s="313">
        <f>SUMIFS(Adjustments!$G:$G,Adjustments!$H:$H,"2J",Adjustments!$I:$I,'Schedule 2J Adjustments'!$N$12,Adjustments!$J:$J,'Schedule 2J Adjustments'!$A64)</f>
        <v>0</v>
      </c>
      <c r="P64" s="309">
        <f t="shared" si="3"/>
        <v>0</v>
      </c>
      <c r="Q64" s="68">
        <f>IFERROR(N64*'As-Filed Schedule 1'!$E$103,0)</f>
        <v>0</v>
      </c>
      <c r="R64" s="68">
        <f>IFERROR(P64*'Adjusted Schedule 1'!$E$104,0)</f>
        <v>0</v>
      </c>
      <c r="S64" s="68">
        <f t="shared" si="4"/>
        <v>0</v>
      </c>
      <c r="T64" s="310">
        <f t="shared" si="5"/>
        <v>0</v>
      </c>
      <c r="V64" s="120">
        <f>'As-Filed Schedule 2J'!N64</f>
        <v>0</v>
      </c>
      <c r="W64" s="313">
        <f>SUMIFS(Adjustments!$G:$G,Adjustments!$H:$H,"2J",Adjustments!$I:$I,'Schedule 2J Adjustments'!$V$12,Adjustments!$J:$J,'Schedule 2J Adjustments'!$A64)</f>
        <v>0</v>
      </c>
      <c r="X64" s="309">
        <f t="shared" si="6"/>
        <v>0</v>
      </c>
      <c r="Y64" s="120">
        <f>'As-Filed Schedule 2J'!O64</f>
        <v>0</v>
      </c>
      <c r="Z64" s="313">
        <f>SUMIFS(Adjustments!$G:$G,Adjustments!$H:$H,"2J",Adjustments!$I:$I,'Schedule 2J Adjustments'!$Y$12,Adjustments!$J:$J,'Schedule 2J Adjustments'!$A64)</f>
        <v>0</v>
      </c>
      <c r="AA64" s="309">
        <f t="shared" si="7"/>
        <v>0</v>
      </c>
    </row>
    <row r="65" spans="1:27" x14ac:dyDescent="0.35">
      <c r="A65" s="24">
        <v>51</v>
      </c>
      <c r="B65" s="507" t="str">
        <f>IF('As-Filed Schedule 2J'!B65:D65=0,"",'As-Filed Schedule 2J'!B65:D65)</f>
        <v/>
      </c>
      <c r="C65" s="507"/>
      <c r="D65" s="507"/>
      <c r="F65" s="117">
        <f>'As-Filed Schedule 2J'!F65</f>
        <v>0</v>
      </c>
      <c r="G65" s="313">
        <f>SUMIFS(Adjustments!$G:$G,Adjustments!$H:$H,"2J",Adjustments!$I:$I,'Schedule 2J Adjustments'!$F$12,Adjustments!$J:$J,'Schedule 2J Adjustments'!$A65)</f>
        <v>0</v>
      </c>
      <c r="H65" s="309">
        <f t="shared" si="0"/>
        <v>0</v>
      </c>
      <c r="I65" s="68">
        <f>IFERROR(F65*'As-Filed Schedule 1'!$E$103,0)</f>
        <v>0</v>
      </c>
      <c r="J65" s="310">
        <f>IFERROR(H65*'Adjusted Schedule 1'!$E$104,0)</f>
        <v>0</v>
      </c>
      <c r="K65" s="68">
        <f t="shared" si="1"/>
        <v>0</v>
      </c>
      <c r="L65" s="310">
        <f t="shared" si="2"/>
        <v>0</v>
      </c>
      <c r="N65" s="117">
        <f>'As-Filed Schedule 2J'!J65</f>
        <v>0</v>
      </c>
      <c r="O65" s="313">
        <f>SUMIFS(Adjustments!$G:$G,Adjustments!$H:$H,"2J",Adjustments!$I:$I,'Schedule 2J Adjustments'!$N$12,Adjustments!$J:$J,'Schedule 2J Adjustments'!$A65)</f>
        <v>0</v>
      </c>
      <c r="P65" s="309">
        <f t="shared" si="3"/>
        <v>0</v>
      </c>
      <c r="Q65" s="68">
        <f>IFERROR(N65*'As-Filed Schedule 1'!$E$103,0)</f>
        <v>0</v>
      </c>
      <c r="R65" s="68">
        <f>IFERROR(P65*'Adjusted Schedule 1'!$E$104,0)</f>
        <v>0</v>
      </c>
      <c r="S65" s="68">
        <f t="shared" si="4"/>
        <v>0</v>
      </c>
      <c r="T65" s="310">
        <f t="shared" si="5"/>
        <v>0</v>
      </c>
      <c r="V65" s="120">
        <f>'As-Filed Schedule 2J'!N65</f>
        <v>0</v>
      </c>
      <c r="W65" s="313">
        <f>SUMIFS(Adjustments!$G:$G,Adjustments!$H:$H,"2J",Adjustments!$I:$I,'Schedule 2J Adjustments'!$V$12,Adjustments!$J:$J,'Schedule 2J Adjustments'!$A65)</f>
        <v>0</v>
      </c>
      <c r="X65" s="309">
        <f t="shared" si="6"/>
        <v>0</v>
      </c>
      <c r="Y65" s="120">
        <f>'As-Filed Schedule 2J'!O65</f>
        <v>0</v>
      </c>
      <c r="Z65" s="313">
        <f>SUMIFS(Adjustments!$G:$G,Adjustments!$H:$H,"2J",Adjustments!$I:$I,'Schedule 2J Adjustments'!$Y$12,Adjustments!$J:$J,'Schedule 2J Adjustments'!$A65)</f>
        <v>0</v>
      </c>
      <c r="AA65" s="309">
        <f t="shared" si="7"/>
        <v>0</v>
      </c>
    </row>
    <row r="66" spans="1:27" x14ac:dyDescent="0.35">
      <c r="A66" s="24">
        <v>52</v>
      </c>
      <c r="B66" s="507" t="str">
        <f>IF('As-Filed Schedule 2J'!B66:D66=0,"",'As-Filed Schedule 2J'!B66:D66)</f>
        <v/>
      </c>
      <c r="C66" s="507"/>
      <c r="D66" s="507"/>
      <c r="F66" s="117">
        <f>'As-Filed Schedule 2J'!F66</f>
        <v>0</v>
      </c>
      <c r="G66" s="313">
        <f>SUMIFS(Adjustments!$G:$G,Adjustments!$H:$H,"2J",Adjustments!$I:$I,'Schedule 2J Adjustments'!$F$12,Adjustments!$J:$J,'Schedule 2J Adjustments'!$A66)</f>
        <v>0</v>
      </c>
      <c r="H66" s="309">
        <f t="shared" si="0"/>
        <v>0</v>
      </c>
      <c r="I66" s="68">
        <f>IFERROR(F66*'As-Filed Schedule 1'!$E$103,0)</f>
        <v>0</v>
      </c>
      <c r="J66" s="310">
        <f>IFERROR(H66*'Adjusted Schedule 1'!$E$104,0)</f>
        <v>0</v>
      </c>
      <c r="K66" s="68">
        <f t="shared" si="1"/>
        <v>0</v>
      </c>
      <c r="L66" s="310">
        <f t="shared" si="2"/>
        <v>0</v>
      </c>
      <c r="N66" s="117">
        <f>'As-Filed Schedule 2J'!J66</f>
        <v>0</v>
      </c>
      <c r="O66" s="313">
        <f>SUMIFS(Adjustments!$G:$G,Adjustments!$H:$H,"2J",Adjustments!$I:$I,'Schedule 2J Adjustments'!$N$12,Adjustments!$J:$J,'Schedule 2J Adjustments'!$A66)</f>
        <v>0</v>
      </c>
      <c r="P66" s="309">
        <f t="shared" si="3"/>
        <v>0</v>
      </c>
      <c r="Q66" s="68">
        <f>IFERROR(N66*'As-Filed Schedule 1'!$E$103,0)</f>
        <v>0</v>
      </c>
      <c r="R66" s="68">
        <f>IFERROR(P66*'Adjusted Schedule 1'!$E$104,0)</f>
        <v>0</v>
      </c>
      <c r="S66" s="68">
        <f t="shared" si="4"/>
        <v>0</v>
      </c>
      <c r="T66" s="310">
        <f t="shared" si="5"/>
        <v>0</v>
      </c>
      <c r="V66" s="120">
        <f>'As-Filed Schedule 2J'!N66</f>
        <v>0</v>
      </c>
      <c r="W66" s="313">
        <f>SUMIFS(Adjustments!$G:$G,Adjustments!$H:$H,"2J",Adjustments!$I:$I,'Schedule 2J Adjustments'!$V$12,Adjustments!$J:$J,'Schedule 2J Adjustments'!$A66)</f>
        <v>0</v>
      </c>
      <c r="X66" s="309">
        <f t="shared" si="6"/>
        <v>0</v>
      </c>
      <c r="Y66" s="120">
        <f>'As-Filed Schedule 2J'!O66</f>
        <v>0</v>
      </c>
      <c r="Z66" s="313">
        <f>SUMIFS(Adjustments!$G:$G,Adjustments!$H:$H,"2J",Adjustments!$I:$I,'Schedule 2J Adjustments'!$Y$12,Adjustments!$J:$J,'Schedule 2J Adjustments'!$A66)</f>
        <v>0</v>
      </c>
      <c r="AA66" s="309">
        <f t="shared" si="7"/>
        <v>0</v>
      </c>
    </row>
    <row r="67" spans="1:27" x14ac:dyDescent="0.35">
      <c r="A67" s="24">
        <v>53</v>
      </c>
      <c r="B67" s="507" t="str">
        <f>IF('As-Filed Schedule 2J'!B67:D67=0,"",'As-Filed Schedule 2J'!B67:D67)</f>
        <v/>
      </c>
      <c r="C67" s="507"/>
      <c r="D67" s="507"/>
      <c r="F67" s="117">
        <f>'As-Filed Schedule 2J'!F67</f>
        <v>0</v>
      </c>
      <c r="G67" s="313">
        <f>SUMIFS(Adjustments!$G:$G,Adjustments!$H:$H,"2J",Adjustments!$I:$I,'Schedule 2J Adjustments'!$F$12,Adjustments!$J:$J,'Schedule 2J Adjustments'!$A67)</f>
        <v>0</v>
      </c>
      <c r="H67" s="309">
        <f t="shared" si="0"/>
        <v>0</v>
      </c>
      <c r="I67" s="68">
        <f>IFERROR(F67*'As-Filed Schedule 1'!$E$103,0)</f>
        <v>0</v>
      </c>
      <c r="J67" s="310">
        <f>IFERROR(H67*'Adjusted Schedule 1'!$E$104,0)</f>
        <v>0</v>
      </c>
      <c r="K67" s="68">
        <f t="shared" si="1"/>
        <v>0</v>
      </c>
      <c r="L67" s="310">
        <f t="shared" si="2"/>
        <v>0</v>
      </c>
      <c r="N67" s="117">
        <f>'As-Filed Schedule 2J'!J67</f>
        <v>0</v>
      </c>
      <c r="O67" s="313">
        <f>SUMIFS(Adjustments!$G:$G,Adjustments!$H:$H,"2J",Adjustments!$I:$I,'Schedule 2J Adjustments'!$N$12,Adjustments!$J:$J,'Schedule 2J Adjustments'!$A67)</f>
        <v>0</v>
      </c>
      <c r="P67" s="309">
        <f t="shared" si="3"/>
        <v>0</v>
      </c>
      <c r="Q67" s="68">
        <f>IFERROR(N67*'As-Filed Schedule 1'!$E$103,0)</f>
        <v>0</v>
      </c>
      <c r="R67" s="68">
        <f>IFERROR(P67*'Adjusted Schedule 1'!$E$104,0)</f>
        <v>0</v>
      </c>
      <c r="S67" s="68">
        <f t="shared" si="4"/>
        <v>0</v>
      </c>
      <c r="T67" s="310">
        <f t="shared" si="5"/>
        <v>0</v>
      </c>
      <c r="V67" s="120">
        <f>'As-Filed Schedule 2J'!N67</f>
        <v>0</v>
      </c>
      <c r="W67" s="313">
        <f>SUMIFS(Adjustments!$G:$G,Adjustments!$H:$H,"2J",Adjustments!$I:$I,'Schedule 2J Adjustments'!$V$12,Adjustments!$J:$J,'Schedule 2J Adjustments'!$A67)</f>
        <v>0</v>
      </c>
      <c r="X67" s="309">
        <f t="shared" si="6"/>
        <v>0</v>
      </c>
      <c r="Y67" s="120">
        <f>'As-Filed Schedule 2J'!O67</f>
        <v>0</v>
      </c>
      <c r="Z67" s="313">
        <f>SUMIFS(Adjustments!$G:$G,Adjustments!$H:$H,"2J",Adjustments!$I:$I,'Schedule 2J Adjustments'!$Y$12,Adjustments!$J:$J,'Schedule 2J Adjustments'!$A67)</f>
        <v>0</v>
      </c>
      <c r="AA67" s="309">
        <f t="shared" si="7"/>
        <v>0</v>
      </c>
    </row>
    <row r="68" spans="1:27" x14ac:dyDescent="0.35">
      <c r="A68" s="24">
        <v>54</v>
      </c>
      <c r="B68" s="507" t="str">
        <f>IF('As-Filed Schedule 2J'!B68:D68=0,"",'As-Filed Schedule 2J'!B68:D68)</f>
        <v/>
      </c>
      <c r="C68" s="507"/>
      <c r="D68" s="507"/>
      <c r="F68" s="117">
        <f>'As-Filed Schedule 2J'!F68</f>
        <v>0</v>
      </c>
      <c r="G68" s="313">
        <f>SUMIFS(Adjustments!$G:$G,Adjustments!$H:$H,"2J",Adjustments!$I:$I,'Schedule 2J Adjustments'!$F$12,Adjustments!$J:$J,'Schedule 2J Adjustments'!$A68)</f>
        <v>0</v>
      </c>
      <c r="H68" s="309">
        <f t="shared" si="0"/>
        <v>0</v>
      </c>
      <c r="I68" s="68">
        <f>IFERROR(F68*'As-Filed Schedule 1'!$E$103,0)</f>
        <v>0</v>
      </c>
      <c r="J68" s="310">
        <f>IFERROR(H68*'Adjusted Schedule 1'!$E$104,0)</f>
        <v>0</v>
      </c>
      <c r="K68" s="68">
        <f t="shared" si="1"/>
        <v>0</v>
      </c>
      <c r="L68" s="310">
        <f t="shared" si="2"/>
        <v>0</v>
      </c>
      <c r="N68" s="117">
        <f>'As-Filed Schedule 2J'!J68</f>
        <v>0</v>
      </c>
      <c r="O68" s="313">
        <f>SUMIFS(Adjustments!$G:$G,Adjustments!$H:$H,"2J",Adjustments!$I:$I,'Schedule 2J Adjustments'!$N$12,Adjustments!$J:$J,'Schedule 2J Adjustments'!$A68)</f>
        <v>0</v>
      </c>
      <c r="P68" s="309">
        <f t="shared" si="3"/>
        <v>0</v>
      </c>
      <c r="Q68" s="68">
        <f>IFERROR(N68*'As-Filed Schedule 1'!$E$103,0)</f>
        <v>0</v>
      </c>
      <c r="R68" s="68">
        <f>IFERROR(P68*'Adjusted Schedule 1'!$E$104,0)</f>
        <v>0</v>
      </c>
      <c r="S68" s="68">
        <f t="shared" si="4"/>
        <v>0</v>
      </c>
      <c r="T68" s="310">
        <f t="shared" si="5"/>
        <v>0</v>
      </c>
      <c r="V68" s="120">
        <f>'As-Filed Schedule 2J'!N68</f>
        <v>0</v>
      </c>
      <c r="W68" s="313">
        <f>SUMIFS(Adjustments!$G:$G,Adjustments!$H:$H,"2J",Adjustments!$I:$I,'Schedule 2J Adjustments'!$V$12,Adjustments!$J:$J,'Schedule 2J Adjustments'!$A68)</f>
        <v>0</v>
      </c>
      <c r="X68" s="309">
        <f t="shared" si="6"/>
        <v>0</v>
      </c>
      <c r="Y68" s="120">
        <f>'As-Filed Schedule 2J'!O68</f>
        <v>0</v>
      </c>
      <c r="Z68" s="313">
        <f>SUMIFS(Adjustments!$G:$G,Adjustments!$H:$H,"2J",Adjustments!$I:$I,'Schedule 2J Adjustments'!$Y$12,Adjustments!$J:$J,'Schedule 2J Adjustments'!$A68)</f>
        <v>0</v>
      </c>
      <c r="AA68" s="309">
        <f t="shared" si="7"/>
        <v>0</v>
      </c>
    </row>
    <row r="69" spans="1:27" x14ac:dyDescent="0.35">
      <c r="A69" s="24">
        <v>55</v>
      </c>
      <c r="B69" s="507" t="str">
        <f>IF('As-Filed Schedule 2J'!B69:D69=0,"",'As-Filed Schedule 2J'!B69:D69)</f>
        <v/>
      </c>
      <c r="C69" s="507"/>
      <c r="D69" s="507"/>
      <c r="F69" s="117">
        <f>'As-Filed Schedule 2J'!F69</f>
        <v>0</v>
      </c>
      <c r="G69" s="313">
        <f>SUMIFS(Adjustments!$G:$G,Adjustments!$H:$H,"2J",Adjustments!$I:$I,'Schedule 2J Adjustments'!$F$12,Adjustments!$J:$J,'Schedule 2J Adjustments'!$A69)</f>
        <v>0</v>
      </c>
      <c r="H69" s="309">
        <f t="shared" si="0"/>
        <v>0</v>
      </c>
      <c r="I69" s="68">
        <f>IFERROR(F69*'As-Filed Schedule 1'!$E$103,0)</f>
        <v>0</v>
      </c>
      <c r="J69" s="310">
        <f>IFERROR(H69*'Adjusted Schedule 1'!$E$104,0)</f>
        <v>0</v>
      </c>
      <c r="K69" s="68">
        <f t="shared" si="1"/>
        <v>0</v>
      </c>
      <c r="L69" s="310">
        <f t="shared" si="2"/>
        <v>0</v>
      </c>
      <c r="N69" s="117">
        <f>'As-Filed Schedule 2J'!J69</f>
        <v>0</v>
      </c>
      <c r="O69" s="313">
        <f>SUMIFS(Adjustments!$G:$G,Adjustments!$H:$H,"2J",Adjustments!$I:$I,'Schedule 2J Adjustments'!$N$12,Adjustments!$J:$J,'Schedule 2J Adjustments'!$A69)</f>
        <v>0</v>
      </c>
      <c r="P69" s="309">
        <f t="shared" si="3"/>
        <v>0</v>
      </c>
      <c r="Q69" s="68">
        <f>IFERROR(N69*'As-Filed Schedule 1'!$E$103,0)</f>
        <v>0</v>
      </c>
      <c r="R69" s="68">
        <f>IFERROR(P69*'Adjusted Schedule 1'!$E$104,0)</f>
        <v>0</v>
      </c>
      <c r="S69" s="68">
        <f t="shared" si="4"/>
        <v>0</v>
      </c>
      <c r="T69" s="310">
        <f t="shared" si="5"/>
        <v>0</v>
      </c>
      <c r="V69" s="120">
        <f>'As-Filed Schedule 2J'!N69</f>
        <v>0</v>
      </c>
      <c r="W69" s="313">
        <f>SUMIFS(Adjustments!$G:$G,Adjustments!$H:$H,"2J",Adjustments!$I:$I,'Schedule 2J Adjustments'!$V$12,Adjustments!$J:$J,'Schedule 2J Adjustments'!$A69)</f>
        <v>0</v>
      </c>
      <c r="X69" s="309">
        <f t="shared" si="6"/>
        <v>0</v>
      </c>
      <c r="Y69" s="120">
        <f>'As-Filed Schedule 2J'!O69</f>
        <v>0</v>
      </c>
      <c r="Z69" s="313">
        <f>SUMIFS(Adjustments!$G:$G,Adjustments!$H:$H,"2J",Adjustments!$I:$I,'Schedule 2J Adjustments'!$Y$12,Adjustments!$J:$J,'Schedule 2J Adjustments'!$A69)</f>
        <v>0</v>
      </c>
      <c r="AA69" s="309">
        <f t="shared" si="7"/>
        <v>0</v>
      </c>
    </row>
    <row r="70" spans="1:27" x14ac:dyDescent="0.35">
      <c r="A70" s="24">
        <v>56</v>
      </c>
      <c r="B70" s="507" t="str">
        <f>IF('As-Filed Schedule 2J'!B70:D70=0,"",'As-Filed Schedule 2J'!B70:D70)</f>
        <v/>
      </c>
      <c r="C70" s="507"/>
      <c r="D70" s="507"/>
      <c r="F70" s="117">
        <f>'As-Filed Schedule 2J'!F70</f>
        <v>0</v>
      </c>
      <c r="G70" s="313">
        <f>SUMIFS(Adjustments!$G:$G,Adjustments!$H:$H,"2J",Adjustments!$I:$I,'Schedule 2J Adjustments'!$F$12,Adjustments!$J:$J,'Schedule 2J Adjustments'!$A70)</f>
        <v>0</v>
      </c>
      <c r="H70" s="309">
        <f t="shared" si="0"/>
        <v>0</v>
      </c>
      <c r="I70" s="68">
        <f>IFERROR(F70*'As-Filed Schedule 1'!$E$103,0)</f>
        <v>0</v>
      </c>
      <c r="J70" s="310">
        <f>IFERROR(H70*'Adjusted Schedule 1'!$E$104,0)</f>
        <v>0</v>
      </c>
      <c r="K70" s="68">
        <f t="shared" si="1"/>
        <v>0</v>
      </c>
      <c r="L70" s="310">
        <f t="shared" si="2"/>
        <v>0</v>
      </c>
      <c r="N70" s="117">
        <f>'As-Filed Schedule 2J'!J70</f>
        <v>0</v>
      </c>
      <c r="O70" s="313">
        <f>SUMIFS(Adjustments!$G:$G,Adjustments!$H:$H,"2J",Adjustments!$I:$I,'Schedule 2J Adjustments'!$N$12,Adjustments!$J:$J,'Schedule 2J Adjustments'!$A70)</f>
        <v>0</v>
      </c>
      <c r="P70" s="309">
        <f t="shared" si="3"/>
        <v>0</v>
      </c>
      <c r="Q70" s="68">
        <f>IFERROR(N70*'As-Filed Schedule 1'!$E$103,0)</f>
        <v>0</v>
      </c>
      <c r="R70" s="68">
        <f>IFERROR(P70*'Adjusted Schedule 1'!$E$104,0)</f>
        <v>0</v>
      </c>
      <c r="S70" s="68">
        <f t="shared" si="4"/>
        <v>0</v>
      </c>
      <c r="T70" s="310">
        <f t="shared" si="5"/>
        <v>0</v>
      </c>
      <c r="V70" s="120">
        <f>'As-Filed Schedule 2J'!N70</f>
        <v>0</v>
      </c>
      <c r="W70" s="313">
        <f>SUMIFS(Adjustments!$G:$G,Adjustments!$H:$H,"2J",Adjustments!$I:$I,'Schedule 2J Adjustments'!$V$12,Adjustments!$J:$J,'Schedule 2J Adjustments'!$A70)</f>
        <v>0</v>
      </c>
      <c r="X70" s="309">
        <f t="shared" si="6"/>
        <v>0</v>
      </c>
      <c r="Y70" s="120">
        <f>'As-Filed Schedule 2J'!O70</f>
        <v>0</v>
      </c>
      <c r="Z70" s="313">
        <f>SUMIFS(Adjustments!$G:$G,Adjustments!$H:$H,"2J",Adjustments!$I:$I,'Schedule 2J Adjustments'!$Y$12,Adjustments!$J:$J,'Schedule 2J Adjustments'!$A70)</f>
        <v>0</v>
      </c>
      <c r="AA70" s="309">
        <f t="shared" si="7"/>
        <v>0</v>
      </c>
    </row>
    <row r="71" spans="1:27" x14ac:dyDescent="0.35">
      <c r="A71" s="24">
        <v>57</v>
      </c>
      <c r="B71" s="507" t="str">
        <f>IF('As-Filed Schedule 2J'!B71:D71=0,"",'As-Filed Schedule 2J'!B71:D71)</f>
        <v/>
      </c>
      <c r="C71" s="507"/>
      <c r="D71" s="507"/>
      <c r="F71" s="117">
        <f>'As-Filed Schedule 2J'!F71</f>
        <v>0</v>
      </c>
      <c r="G71" s="313">
        <f>SUMIFS(Adjustments!$G:$G,Adjustments!$H:$H,"2J",Adjustments!$I:$I,'Schedule 2J Adjustments'!$F$12,Adjustments!$J:$J,'Schedule 2J Adjustments'!$A71)</f>
        <v>0</v>
      </c>
      <c r="H71" s="309">
        <f t="shared" si="0"/>
        <v>0</v>
      </c>
      <c r="I71" s="68">
        <f>IFERROR(F71*'As-Filed Schedule 1'!$E$103,0)</f>
        <v>0</v>
      </c>
      <c r="J71" s="310">
        <f>IFERROR(H71*'Adjusted Schedule 1'!$E$104,0)</f>
        <v>0</v>
      </c>
      <c r="K71" s="68">
        <f t="shared" si="1"/>
        <v>0</v>
      </c>
      <c r="L71" s="310">
        <f t="shared" si="2"/>
        <v>0</v>
      </c>
      <c r="N71" s="117">
        <f>'As-Filed Schedule 2J'!J71</f>
        <v>0</v>
      </c>
      <c r="O71" s="313">
        <f>SUMIFS(Adjustments!$G:$G,Adjustments!$H:$H,"2J",Adjustments!$I:$I,'Schedule 2J Adjustments'!$N$12,Adjustments!$J:$J,'Schedule 2J Adjustments'!$A71)</f>
        <v>0</v>
      </c>
      <c r="P71" s="309">
        <f t="shared" si="3"/>
        <v>0</v>
      </c>
      <c r="Q71" s="68">
        <f>IFERROR(N71*'As-Filed Schedule 1'!$E$103,0)</f>
        <v>0</v>
      </c>
      <c r="R71" s="68">
        <f>IFERROR(P71*'Adjusted Schedule 1'!$E$104,0)</f>
        <v>0</v>
      </c>
      <c r="S71" s="68">
        <f t="shared" si="4"/>
        <v>0</v>
      </c>
      <c r="T71" s="310">
        <f t="shared" si="5"/>
        <v>0</v>
      </c>
      <c r="V71" s="120">
        <f>'As-Filed Schedule 2J'!N71</f>
        <v>0</v>
      </c>
      <c r="W71" s="313">
        <f>SUMIFS(Adjustments!$G:$G,Adjustments!$H:$H,"2J",Adjustments!$I:$I,'Schedule 2J Adjustments'!$V$12,Adjustments!$J:$J,'Schedule 2J Adjustments'!$A71)</f>
        <v>0</v>
      </c>
      <c r="X71" s="309">
        <f t="shared" si="6"/>
        <v>0</v>
      </c>
      <c r="Y71" s="120">
        <f>'As-Filed Schedule 2J'!O71</f>
        <v>0</v>
      </c>
      <c r="Z71" s="313">
        <f>SUMIFS(Adjustments!$G:$G,Adjustments!$H:$H,"2J",Adjustments!$I:$I,'Schedule 2J Adjustments'!$Y$12,Adjustments!$J:$J,'Schedule 2J Adjustments'!$A71)</f>
        <v>0</v>
      </c>
      <c r="AA71" s="309">
        <f t="shared" si="7"/>
        <v>0</v>
      </c>
    </row>
    <row r="72" spans="1:27" x14ac:dyDescent="0.35">
      <c r="A72" s="24">
        <v>58</v>
      </c>
      <c r="B72" s="507" t="str">
        <f>IF('As-Filed Schedule 2J'!B72:D72=0,"",'As-Filed Schedule 2J'!B72:D72)</f>
        <v/>
      </c>
      <c r="C72" s="507"/>
      <c r="D72" s="507"/>
      <c r="F72" s="117">
        <f>'As-Filed Schedule 2J'!F72</f>
        <v>0</v>
      </c>
      <c r="G72" s="313">
        <f>SUMIFS(Adjustments!$G:$G,Adjustments!$H:$H,"2J",Adjustments!$I:$I,'Schedule 2J Adjustments'!$F$12,Adjustments!$J:$J,'Schedule 2J Adjustments'!$A72)</f>
        <v>0</v>
      </c>
      <c r="H72" s="309">
        <f t="shared" si="0"/>
        <v>0</v>
      </c>
      <c r="I72" s="68">
        <f>IFERROR(F72*'As-Filed Schedule 1'!$E$103,0)</f>
        <v>0</v>
      </c>
      <c r="J72" s="310">
        <f>IFERROR(H72*'Adjusted Schedule 1'!$E$104,0)</f>
        <v>0</v>
      </c>
      <c r="K72" s="68">
        <f t="shared" si="1"/>
        <v>0</v>
      </c>
      <c r="L72" s="310">
        <f t="shared" si="2"/>
        <v>0</v>
      </c>
      <c r="N72" s="117">
        <f>'As-Filed Schedule 2J'!J72</f>
        <v>0</v>
      </c>
      <c r="O72" s="313">
        <f>SUMIFS(Adjustments!$G:$G,Adjustments!$H:$H,"2J",Adjustments!$I:$I,'Schedule 2J Adjustments'!$N$12,Adjustments!$J:$J,'Schedule 2J Adjustments'!$A72)</f>
        <v>0</v>
      </c>
      <c r="P72" s="309">
        <f t="shared" si="3"/>
        <v>0</v>
      </c>
      <c r="Q72" s="68">
        <f>IFERROR(N72*'As-Filed Schedule 1'!$E$103,0)</f>
        <v>0</v>
      </c>
      <c r="R72" s="68">
        <f>IFERROR(P72*'Adjusted Schedule 1'!$E$104,0)</f>
        <v>0</v>
      </c>
      <c r="S72" s="68">
        <f t="shared" si="4"/>
        <v>0</v>
      </c>
      <c r="T72" s="310">
        <f t="shared" si="5"/>
        <v>0</v>
      </c>
      <c r="V72" s="120">
        <f>'As-Filed Schedule 2J'!N72</f>
        <v>0</v>
      </c>
      <c r="W72" s="313">
        <f>SUMIFS(Adjustments!$G:$G,Adjustments!$H:$H,"2J",Adjustments!$I:$I,'Schedule 2J Adjustments'!$V$12,Adjustments!$J:$J,'Schedule 2J Adjustments'!$A72)</f>
        <v>0</v>
      </c>
      <c r="X72" s="309">
        <f t="shared" si="6"/>
        <v>0</v>
      </c>
      <c r="Y72" s="120">
        <f>'As-Filed Schedule 2J'!O72</f>
        <v>0</v>
      </c>
      <c r="Z72" s="313">
        <f>SUMIFS(Adjustments!$G:$G,Adjustments!$H:$H,"2J",Adjustments!$I:$I,'Schedule 2J Adjustments'!$Y$12,Adjustments!$J:$J,'Schedule 2J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845</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828</v>
      </c>
      <c r="C8" s="1"/>
      <c r="F8" s="119" t="str">
        <f>'As-Filed Schedule 2K'!F8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2K'!B15:D15=0,"",'As-Filed Schedule 2K'!B15:D15)</f>
        <v/>
      </c>
      <c r="C15" s="507"/>
      <c r="D15" s="507"/>
      <c r="F15" s="117">
        <f>'As-Filed Schedule 2K'!F15</f>
        <v>0</v>
      </c>
      <c r="G15" s="313">
        <f>SUMIFS(Adjustments!$G:$G,Adjustments!$H:$H,"2K",Adjustments!$I:$I,'Schedule 2K Adjustments'!$F$12,Adjustments!$J:$J,'Schedule 2K Adjustments'!$A15)</f>
        <v>0</v>
      </c>
      <c r="H15" s="309">
        <f>SUM(F15:G15)</f>
        <v>0</v>
      </c>
      <c r="I15" s="68">
        <f>IFERROR(F15*'As-Filed Schedule 1'!$E$103,0)</f>
        <v>0</v>
      </c>
      <c r="J15" s="310">
        <f>IFERROR(H15*'Adjusted Schedule 1'!$E$104,0)</f>
        <v>0</v>
      </c>
      <c r="K15" s="68">
        <f>SUM(F15,I15)</f>
        <v>0</v>
      </c>
      <c r="L15" s="310">
        <f>SUM(H15,J15)</f>
        <v>0</v>
      </c>
      <c r="N15" s="117">
        <f>'As-Filed Schedule 2K'!J15</f>
        <v>0</v>
      </c>
      <c r="O15" s="313">
        <f>SUMIFS(Adjustments!$G:$G,Adjustments!$H:$H,"2K",Adjustments!$I:$I,'Schedule 2K Adjustments'!$N$12,Adjustments!$J:$J,'Schedule 2K Adjustments'!$A15)</f>
        <v>0</v>
      </c>
      <c r="P15" s="309">
        <f>SUM(N15:O15)</f>
        <v>0</v>
      </c>
      <c r="Q15" s="68">
        <f>IFERROR(N15*'As-Filed Schedule 1'!$E$103,0)</f>
        <v>0</v>
      </c>
      <c r="R15" s="68">
        <f>IFERROR(P15*'Adjusted Schedule 1'!$E$104,0)</f>
        <v>0</v>
      </c>
      <c r="S15" s="68">
        <f>SUM(N15,Q15)</f>
        <v>0</v>
      </c>
      <c r="T15" s="310">
        <f>SUM(P15,R15)</f>
        <v>0</v>
      </c>
      <c r="V15" s="120">
        <f>'As-Filed Schedule 2K'!N15</f>
        <v>0</v>
      </c>
      <c r="W15" s="313">
        <f>SUMIFS(Adjustments!$G:$G,Adjustments!$H:$H,"2K",Adjustments!$I:$I,'Schedule 2K Adjustments'!$V$12,Adjustments!$J:$J,'Schedule 2K Adjustments'!$A15)</f>
        <v>0</v>
      </c>
      <c r="X15" s="309">
        <f>SUM(V15:W15)</f>
        <v>0</v>
      </c>
      <c r="Y15" s="120">
        <f>'As-Filed Schedule 2K'!O15</f>
        <v>0</v>
      </c>
      <c r="Z15" s="313">
        <f>SUMIFS(Adjustments!$G:$G,Adjustments!$H:$H,"2K",Adjustments!$I:$I,'Schedule 2K Adjustments'!$Y$12,Adjustments!$J:$J,'Schedule 2K Adjustments'!$A15)</f>
        <v>0</v>
      </c>
      <c r="AA15" s="309">
        <f>SUM(Y15:Z15)</f>
        <v>0</v>
      </c>
    </row>
    <row r="16" spans="1:27" x14ac:dyDescent="0.35">
      <c r="A16" s="24">
        <v>2</v>
      </c>
      <c r="B16" s="507" t="str">
        <f>IF('As-Filed Schedule 2K'!B16:D16=0,"",'As-Filed Schedule 2K'!B16:D16)</f>
        <v/>
      </c>
      <c r="C16" s="507"/>
      <c r="D16" s="507"/>
      <c r="F16" s="117">
        <f>'As-Filed Schedule 2K'!F16</f>
        <v>0</v>
      </c>
      <c r="G16" s="313">
        <f>SUMIFS(Adjustments!$G:$G,Adjustments!$H:$H,"2K",Adjustments!$I:$I,'Schedule 2K Adjustments'!$F$12,Adjustments!$J:$J,'Schedule 2K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2K'!J16</f>
        <v>0</v>
      </c>
      <c r="O16" s="313">
        <f>SUMIFS(Adjustments!$G:$G,Adjustments!$H:$H,"2K",Adjustments!$I:$I,'Schedule 2K Adjustments'!$N$12,Adjustments!$J:$J,'Schedule 2K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2K'!N16</f>
        <v>0</v>
      </c>
      <c r="W16" s="313">
        <f>SUMIFS(Adjustments!$G:$G,Adjustments!$H:$H,"2K",Adjustments!$I:$I,'Schedule 2K Adjustments'!$V$12,Adjustments!$J:$J,'Schedule 2K Adjustments'!$A16)</f>
        <v>0</v>
      </c>
      <c r="X16" s="309">
        <f t="shared" ref="X16:X72" si="6">SUM(V16:W16)</f>
        <v>0</v>
      </c>
      <c r="Y16" s="120">
        <f>'As-Filed Schedule 2K'!O16</f>
        <v>0</v>
      </c>
      <c r="Z16" s="313">
        <f>SUMIFS(Adjustments!$G:$G,Adjustments!$H:$H,"2K",Adjustments!$I:$I,'Schedule 2K Adjustments'!$Y$12,Adjustments!$J:$J,'Schedule 2K Adjustments'!$A16)</f>
        <v>0</v>
      </c>
      <c r="AA16" s="309">
        <f t="shared" ref="AA16:AA72" si="7">SUM(Y16:Z16)</f>
        <v>0</v>
      </c>
    </row>
    <row r="17" spans="1:27" x14ac:dyDescent="0.35">
      <c r="A17" s="24">
        <v>3</v>
      </c>
      <c r="B17" s="507" t="str">
        <f>IF('As-Filed Schedule 2K'!B17:D17=0,"",'As-Filed Schedule 2K'!B17:D17)</f>
        <v/>
      </c>
      <c r="C17" s="507"/>
      <c r="D17" s="507"/>
      <c r="F17" s="117">
        <f>'As-Filed Schedule 2K'!F17</f>
        <v>0</v>
      </c>
      <c r="G17" s="313">
        <f>SUMIFS(Adjustments!$G:$G,Adjustments!$H:$H,"2K",Adjustments!$I:$I,'Schedule 2K Adjustments'!$F$12,Adjustments!$J:$J,'Schedule 2K Adjustments'!$A17)</f>
        <v>0</v>
      </c>
      <c r="H17" s="309">
        <f t="shared" si="0"/>
        <v>0</v>
      </c>
      <c r="I17" s="68">
        <f>IFERROR(F17*'As-Filed Schedule 1'!$E$103,0)</f>
        <v>0</v>
      </c>
      <c r="J17" s="310">
        <f>IFERROR(H17*'Adjusted Schedule 1'!$E$104,0)</f>
        <v>0</v>
      </c>
      <c r="K17" s="68">
        <f t="shared" si="1"/>
        <v>0</v>
      </c>
      <c r="L17" s="310">
        <f t="shared" si="2"/>
        <v>0</v>
      </c>
      <c r="N17" s="117">
        <f>'As-Filed Schedule 2K'!J17</f>
        <v>0</v>
      </c>
      <c r="O17" s="313">
        <f>SUMIFS(Adjustments!$G:$G,Adjustments!$H:$H,"2K",Adjustments!$I:$I,'Schedule 2K Adjustments'!$N$12,Adjustments!$J:$J,'Schedule 2K Adjustments'!$A17)</f>
        <v>0</v>
      </c>
      <c r="P17" s="309">
        <f t="shared" si="3"/>
        <v>0</v>
      </c>
      <c r="Q17" s="68">
        <f>IFERROR(N17*'As-Filed Schedule 1'!$E$103,0)</f>
        <v>0</v>
      </c>
      <c r="R17" s="68">
        <f>IFERROR(P17*'Adjusted Schedule 1'!$E$104,0)</f>
        <v>0</v>
      </c>
      <c r="S17" s="68">
        <f t="shared" si="4"/>
        <v>0</v>
      </c>
      <c r="T17" s="310">
        <f t="shared" si="5"/>
        <v>0</v>
      </c>
      <c r="V17" s="120">
        <f>'As-Filed Schedule 2K'!N17</f>
        <v>0</v>
      </c>
      <c r="W17" s="313">
        <f>SUMIFS(Adjustments!$G:$G,Adjustments!$H:$H,"2K",Adjustments!$I:$I,'Schedule 2K Adjustments'!$V$12,Adjustments!$J:$J,'Schedule 2K Adjustments'!$A17)</f>
        <v>0</v>
      </c>
      <c r="X17" s="309">
        <f t="shared" si="6"/>
        <v>0</v>
      </c>
      <c r="Y17" s="120">
        <f>'As-Filed Schedule 2K'!O17</f>
        <v>0</v>
      </c>
      <c r="Z17" s="313">
        <f>SUMIFS(Adjustments!$G:$G,Adjustments!$H:$H,"2K",Adjustments!$I:$I,'Schedule 2K Adjustments'!$Y$12,Adjustments!$J:$J,'Schedule 2K Adjustments'!$A17)</f>
        <v>0</v>
      </c>
      <c r="AA17" s="309">
        <f t="shared" si="7"/>
        <v>0</v>
      </c>
    </row>
    <row r="18" spans="1:27" x14ac:dyDescent="0.35">
      <c r="A18" s="24">
        <v>4</v>
      </c>
      <c r="B18" s="507" t="str">
        <f>IF('As-Filed Schedule 2K'!B18:D18=0,"",'As-Filed Schedule 2K'!B18:D18)</f>
        <v/>
      </c>
      <c r="C18" s="507"/>
      <c r="D18" s="507"/>
      <c r="F18" s="117">
        <f>'As-Filed Schedule 2K'!F18</f>
        <v>0</v>
      </c>
      <c r="G18" s="313">
        <f>SUMIFS(Adjustments!$G:$G,Adjustments!$H:$H,"2K",Adjustments!$I:$I,'Schedule 2K Adjustments'!$F$12,Adjustments!$J:$J,'Schedule 2K Adjustments'!$A18)</f>
        <v>0</v>
      </c>
      <c r="H18" s="309">
        <f t="shared" si="0"/>
        <v>0</v>
      </c>
      <c r="I18" s="68">
        <f>IFERROR(F18*'As-Filed Schedule 1'!$E$103,0)</f>
        <v>0</v>
      </c>
      <c r="J18" s="310">
        <f>IFERROR(H18*'Adjusted Schedule 1'!$E$104,0)</f>
        <v>0</v>
      </c>
      <c r="K18" s="68">
        <f>SUM(F18,I18)</f>
        <v>0</v>
      </c>
      <c r="L18" s="310">
        <f>SUM(H18,J18)</f>
        <v>0</v>
      </c>
      <c r="N18" s="117">
        <f>'As-Filed Schedule 2K'!J18</f>
        <v>0</v>
      </c>
      <c r="O18" s="313">
        <f>SUMIFS(Adjustments!$G:$G,Adjustments!$H:$H,"2K",Adjustments!$I:$I,'Schedule 2K Adjustments'!$N$12,Adjustments!$J:$J,'Schedule 2K Adjustments'!$A18)</f>
        <v>0</v>
      </c>
      <c r="P18" s="309">
        <f t="shared" si="3"/>
        <v>0</v>
      </c>
      <c r="Q18" s="68">
        <f>IFERROR(N18*'As-Filed Schedule 1'!$E$103,0)</f>
        <v>0</v>
      </c>
      <c r="R18" s="68">
        <f>IFERROR(P18*'Adjusted Schedule 1'!$E$104,0)</f>
        <v>0</v>
      </c>
      <c r="S18" s="68">
        <f t="shared" si="4"/>
        <v>0</v>
      </c>
      <c r="T18" s="310">
        <f t="shared" si="5"/>
        <v>0</v>
      </c>
      <c r="V18" s="120">
        <f>'As-Filed Schedule 2K'!N18</f>
        <v>0</v>
      </c>
      <c r="W18" s="313">
        <f>SUMIFS(Adjustments!$G:$G,Adjustments!$H:$H,"2K",Adjustments!$I:$I,'Schedule 2K Adjustments'!$V$12,Adjustments!$J:$J,'Schedule 2K Adjustments'!$A18)</f>
        <v>0</v>
      </c>
      <c r="X18" s="309">
        <f t="shared" si="6"/>
        <v>0</v>
      </c>
      <c r="Y18" s="120">
        <f>'As-Filed Schedule 2K'!O18</f>
        <v>0</v>
      </c>
      <c r="Z18" s="313">
        <f>SUMIFS(Adjustments!$G:$G,Adjustments!$H:$H,"2K",Adjustments!$I:$I,'Schedule 2K Adjustments'!$Y$12,Adjustments!$J:$J,'Schedule 2K Adjustments'!$A18)</f>
        <v>0</v>
      </c>
      <c r="AA18" s="309">
        <f t="shared" si="7"/>
        <v>0</v>
      </c>
    </row>
    <row r="19" spans="1:27" x14ac:dyDescent="0.35">
      <c r="A19" s="24">
        <v>5</v>
      </c>
      <c r="B19" s="507" t="str">
        <f>IF('As-Filed Schedule 2K'!B19:D19=0,"",'As-Filed Schedule 2K'!B19:D19)</f>
        <v/>
      </c>
      <c r="C19" s="507"/>
      <c r="D19" s="507"/>
      <c r="F19" s="117">
        <f>'As-Filed Schedule 2K'!F19</f>
        <v>0</v>
      </c>
      <c r="G19" s="313">
        <f>SUMIFS(Adjustments!$G:$G,Adjustments!$H:$H,"2K",Adjustments!$I:$I,'Schedule 2K Adjustments'!$F$12,Adjustments!$J:$J,'Schedule 2K Adjustments'!$A19)</f>
        <v>0</v>
      </c>
      <c r="H19" s="309">
        <f t="shared" si="0"/>
        <v>0</v>
      </c>
      <c r="I19" s="68">
        <f>IFERROR(F19*'As-Filed Schedule 1'!$E$103,0)</f>
        <v>0</v>
      </c>
      <c r="J19" s="310">
        <f>IFERROR(H19*'Adjusted Schedule 1'!$E$104,0)</f>
        <v>0</v>
      </c>
      <c r="K19" s="68">
        <f t="shared" si="1"/>
        <v>0</v>
      </c>
      <c r="L19" s="310">
        <f>SUM(H19,J19)</f>
        <v>0</v>
      </c>
      <c r="N19" s="117">
        <f>'As-Filed Schedule 2K'!J19</f>
        <v>0</v>
      </c>
      <c r="O19" s="313">
        <f>SUMIFS(Adjustments!$G:$G,Adjustments!$H:$H,"2K",Adjustments!$I:$I,'Schedule 2K Adjustments'!$N$12,Adjustments!$J:$J,'Schedule 2K Adjustments'!$A19)</f>
        <v>0</v>
      </c>
      <c r="P19" s="309">
        <f t="shared" si="3"/>
        <v>0</v>
      </c>
      <c r="Q19" s="68">
        <f>IFERROR(N19*'As-Filed Schedule 1'!$E$103,0)</f>
        <v>0</v>
      </c>
      <c r="R19" s="68">
        <f>IFERROR(P19*'Adjusted Schedule 1'!$E$104,0)</f>
        <v>0</v>
      </c>
      <c r="S19" s="68">
        <f t="shared" si="4"/>
        <v>0</v>
      </c>
      <c r="T19" s="310">
        <f t="shared" si="5"/>
        <v>0</v>
      </c>
      <c r="V19" s="120">
        <f>'As-Filed Schedule 2K'!N19</f>
        <v>0</v>
      </c>
      <c r="W19" s="313">
        <f>SUMIFS(Adjustments!$G:$G,Adjustments!$H:$H,"2K",Adjustments!$I:$I,'Schedule 2K Adjustments'!$V$12,Adjustments!$J:$J,'Schedule 2K Adjustments'!$A19)</f>
        <v>0</v>
      </c>
      <c r="X19" s="309">
        <f t="shared" si="6"/>
        <v>0</v>
      </c>
      <c r="Y19" s="120">
        <f>'As-Filed Schedule 2K'!O19</f>
        <v>0</v>
      </c>
      <c r="Z19" s="313">
        <f>SUMIFS(Adjustments!$G:$G,Adjustments!$H:$H,"2K",Adjustments!$I:$I,'Schedule 2K Adjustments'!$Y$12,Adjustments!$J:$J,'Schedule 2K Adjustments'!$A19)</f>
        <v>0</v>
      </c>
      <c r="AA19" s="309">
        <f t="shared" si="7"/>
        <v>0</v>
      </c>
    </row>
    <row r="20" spans="1:27" x14ac:dyDescent="0.35">
      <c r="A20" s="24">
        <v>6</v>
      </c>
      <c r="B20" s="507" t="str">
        <f>IF('As-Filed Schedule 2K'!B20:D20=0,"",'As-Filed Schedule 2K'!B20:D20)</f>
        <v/>
      </c>
      <c r="C20" s="507"/>
      <c r="D20" s="507"/>
      <c r="F20" s="117">
        <f>'As-Filed Schedule 2K'!F20</f>
        <v>0</v>
      </c>
      <c r="G20" s="313">
        <f>SUMIFS(Adjustments!$G:$G,Adjustments!$H:$H,"2K",Adjustments!$I:$I,'Schedule 2K Adjustments'!$F$12,Adjustments!$J:$J,'Schedule 2K Adjustments'!$A20)</f>
        <v>0</v>
      </c>
      <c r="H20" s="309">
        <f t="shared" si="0"/>
        <v>0</v>
      </c>
      <c r="I20" s="68">
        <f>IFERROR(F20*'As-Filed Schedule 1'!$E$103,0)</f>
        <v>0</v>
      </c>
      <c r="J20" s="310">
        <f>IFERROR(H20*'Adjusted Schedule 1'!$E$104,0)</f>
        <v>0</v>
      </c>
      <c r="K20" s="68">
        <f>SUM(F20,I20)</f>
        <v>0</v>
      </c>
      <c r="L20" s="310">
        <f t="shared" si="2"/>
        <v>0</v>
      </c>
      <c r="N20" s="117">
        <f>'As-Filed Schedule 2K'!J20</f>
        <v>0</v>
      </c>
      <c r="O20" s="313">
        <f>SUMIFS(Adjustments!$G:$G,Adjustments!$H:$H,"2K",Adjustments!$I:$I,'Schedule 2K Adjustments'!$N$12,Adjustments!$J:$J,'Schedule 2K Adjustments'!$A20)</f>
        <v>0</v>
      </c>
      <c r="P20" s="309">
        <f t="shared" si="3"/>
        <v>0</v>
      </c>
      <c r="Q20" s="68">
        <f>IFERROR(N20*'As-Filed Schedule 1'!$E$103,0)</f>
        <v>0</v>
      </c>
      <c r="R20" s="68">
        <f>IFERROR(P20*'Adjusted Schedule 1'!$E$104,0)</f>
        <v>0</v>
      </c>
      <c r="S20" s="68">
        <f t="shared" si="4"/>
        <v>0</v>
      </c>
      <c r="T20" s="310">
        <f t="shared" si="5"/>
        <v>0</v>
      </c>
      <c r="V20" s="120">
        <f>'As-Filed Schedule 2K'!N20</f>
        <v>0</v>
      </c>
      <c r="W20" s="313">
        <f>SUMIFS(Adjustments!$G:$G,Adjustments!$H:$H,"2K",Adjustments!$I:$I,'Schedule 2K Adjustments'!$V$12,Adjustments!$J:$J,'Schedule 2K Adjustments'!$A20)</f>
        <v>0</v>
      </c>
      <c r="X20" s="309">
        <f t="shared" si="6"/>
        <v>0</v>
      </c>
      <c r="Y20" s="120">
        <f>'As-Filed Schedule 2K'!O20</f>
        <v>0</v>
      </c>
      <c r="Z20" s="313">
        <f>SUMIFS(Adjustments!$G:$G,Adjustments!$H:$H,"2K",Adjustments!$I:$I,'Schedule 2K Adjustments'!$Y$12,Adjustments!$J:$J,'Schedule 2K Adjustments'!$A20)</f>
        <v>0</v>
      </c>
      <c r="AA20" s="309">
        <f t="shared" si="7"/>
        <v>0</v>
      </c>
    </row>
    <row r="21" spans="1:27" x14ac:dyDescent="0.35">
      <c r="A21" s="24">
        <v>7</v>
      </c>
      <c r="B21" s="507" t="str">
        <f>IF('As-Filed Schedule 2K'!B21:D21=0,"",'As-Filed Schedule 2K'!B21:D21)</f>
        <v/>
      </c>
      <c r="C21" s="507"/>
      <c r="D21" s="507"/>
      <c r="F21" s="117">
        <f>'As-Filed Schedule 2K'!F21</f>
        <v>0</v>
      </c>
      <c r="G21" s="313">
        <f>SUMIFS(Adjustments!$G:$G,Adjustments!$H:$H,"2K",Adjustments!$I:$I,'Schedule 2K Adjustments'!$F$12,Adjustments!$J:$J,'Schedule 2K Adjustments'!$A21)</f>
        <v>0</v>
      </c>
      <c r="H21" s="309">
        <f t="shared" si="0"/>
        <v>0</v>
      </c>
      <c r="I21" s="68">
        <f>IFERROR(F21*'As-Filed Schedule 1'!$E$103,0)</f>
        <v>0</v>
      </c>
      <c r="J21" s="310">
        <f>IFERROR(H21*'Adjusted Schedule 1'!$E$104,0)</f>
        <v>0</v>
      </c>
      <c r="K21" s="68">
        <f t="shared" si="1"/>
        <v>0</v>
      </c>
      <c r="L21" s="310">
        <f t="shared" si="2"/>
        <v>0</v>
      </c>
      <c r="N21" s="117">
        <f>'As-Filed Schedule 2K'!J21</f>
        <v>0</v>
      </c>
      <c r="O21" s="313">
        <f>SUMIFS(Adjustments!$G:$G,Adjustments!$H:$H,"2K",Adjustments!$I:$I,'Schedule 2K Adjustments'!$N$12,Adjustments!$J:$J,'Schedule 2K Adjustments'!$A21)</f>
        <v>0</v>
      </c>
      <c r="P21" s="309">
        <f t="shared" si="3"/>
        <v>0</v>
      </c>
      <c r="Q21" s="68">
        <f>IFERROR(N21*'As-Filed Schedule 1'!$E$103,0)</f>
        <v>0</v>
      </c>
      <c r="R21" s="68">
        <f>IFERROR(P21*'Adjusted Schedule 1'!$E$104,0)</f>
        <v>0</v>
      </c>
      <c r="S21" s="68">
        <f>SUM(N21,Q21)</f>
        <v>0</v>
      </c>
      <c r="T21" s="310">
        <f>SUM(P21,R21)</f>
        <v>0</v>
      </c>
      <c r="V21" s="120">
        <f>'As-Filed Schedule 2K'!N21</f>
        <v>0</v>
      </c>
      <c r="W21" s="313">
        <f>SUMIFS(Adjustments!$G:$G,Adjustments!$H:$H,"2K",Adjustments!$I:$I,'Schedule 2K Adjustments'!$V$12,Adjustments!$J:$J,'Schedule 2K Adjustments'!$A21)</f>
        <v>0</v>
      </c>
      <c r="X21" s="309">
        <f t="shared" si="6"/>
        <v>0</v>
      </c>
      <c r="Y21" s="120">
        <f>'As-Filed Schedule 2K'!O21</f>
        <v>0</v>
      </c>
      <c r="Z21" s="313">
        <f>SUMIFS(Adjustments!$G:$G,Adjustments!$H:$H,"2K",Adjustments!$I:$I,'Schedule 2K Adjustments'!$Y$12,Adjustments!$J:$J,'Schedule 2K Adjustments'!$A21)</f>
        <v>0</v>
      </c>
      <c r="AA21" s="309">
        <f t="shared" si="7"/>
        <v>0</v>
      </c>
    </row>
    <row r="22" spans="1:27" x14ac:dyDescent="0.35">
      <c r="A22" s="24">
        <v>8</v>
      </c>
      <c r="B22" s="507" t="str">
        <f>IF('As-Filed Schedule 2K'!B22:D22=0,"",'As-Filed Schedule 2K'!B22:D22)</f>
        <v/>
      </c>
      <c r="C22" s="507"/>
      <c r="D22" s="507"/>
      <c r="F22" s="117">
        <f>'As-Filed Schedule 2K'!F22</f>
        <v>0</v>
      </c>
      <c r="G22" s="313">
        <f>SUMIFS(Adjustments!$G:$G,Adjustments!$H:$H,"2K",Adjustments!$I:$I,'Schedule 2K Adjustments'!$F$12,Adjustments!$J:$J,'Schedule 2K Adjustments'!$A22)</f>
        <v>0</v>
      </c>
      <c r="H22" s="309">
        <f t="shared" si="0"/>
        <v>0</v>
      </c>
      <c r="I22" s="68">
        <f>IFERROR(F22*'As-Filed Schedule 1'!$E$103,0)</f>
        <v>0</v>
      </c>
      <c r="J22" s="310">
        <f>IFERROR(H22*'Adjusted Schedule 1'!$E$104,0)</f>
        <v>0</v>
      </c>
      <c r="K22" s="68">
        <f t="shared" si="1"/>
        <v>0</v>
      </c>
      <c r="L22" s="310">
        <f t="shared" si="2"/>
        <v>0</v>
      </c>
      <c r="N22" s="117">
        <f>'As-Filed Schedule 2K'!J22</f>
        <v>0</v>
      </c>
      <c r="O22" s="313">
        <f>SUMIFS(Adjustments!$G:$G,Adjustments!$H:$H,"2K",Adjustments!$I:$I,'Schedule 2K Adjustments'!$N$12,Adjustments!$J:$J,'Schedule 2K Adjustments'!$A22)</f>
        <v>0</v>
      </c>
      <c r="P22" s="309">
        <f t="shared" si="3"/>
        <v>0</v>
      </c>
      <c r="Q22" s="68">
        <f>IFERROR(N22*'As-Filed Schedule 1'!$E$103,0)</f>
        <v>0</v>
      </c>
      <c r="R22" s="68">
        <f>IFERROR(P22*'Adjusted Schedule 1'!$E$104,0)</f>
        <v>0</v>
      </c>
      <c r="S22" s="68">
        <f t="shared" si="4"/>
        <v>0</v>
      </c>
      <c r="T22" s="310">
        <f t="shared" si="5"/>
        <v>0</v>
      </c>
      <c r="V22" s="120">
        <f>'As-Filed Schedule 2K'!N22</f>
        <v>0</v>
      </c>
      <c r="W22" s="313">
        <f>SUMIFS(Adjustments!$G:$G,Adjustments!$H:$H,"2K",Adjustments!$I:$I,'Schedule 2K Adjustments'!$V$12,Adjustments!$J:$J,'Schedule 2K Adjustments'!$A22)</f>
        <v>0</v>
      </c>
      <c r="X22" s="309">
        <f t="shared" si="6"/>
        <v>0</v>
      </c>
      <c r="Y22" s="120">
        <f>'As-Filed Schedule 2K'!O22</f>
        <v>0</v>
      </c>
      <c r="Z22" s="313">
        <f>SUMIFS(Adjustments!$G:$G,Adjustments!$H:$H,"2K",Adjustments!$I:$I,'Schedule 2K Adjustments'!$Y$12,Adjustments!$J:$J,'Schedule 2K Adjustments'!$A22)</f>
        <v>0</v>
      </c>
      <c r="AA22" s="309">
        <f t="shared" si="7"/>
        <v>0</v>
      </c>
    </row>
    <row r="23" spans="1:27" x14ac:dyDescent="0.35">
      <c r="A23" s="24">
        <v>9</v>
      </c>
      <c r="B23" s="507" t="str">
        <f>IF('As-Filed Schedule 2K'!B23:D23=0,"",'As-Filed Schedule 2K'!B23:D23)</f>
        <v/>
      </c>
      <c r="C23" s="507"/>
      <c r="D23" s="507"/>
      <c r="F23" s="117">
        <f>'As-Filed Schedule 2K'!F23</f>
        <v>0</v>
      </c>
      <c r="G23" s="313">
        <f>SUMIFS(Adjustments!$G:$G,Adjustments!$H:$H,"2K",Adjustments!$I:$I,'Schedule 2K Adjustments'!$F$12,Adjustments!$J:$J,'Schedule 2K Adjustments'!$A23)</f>
        <v>0</v>
      </c>
      <c r="H23" s="309">
        <f t="shared" si="0"/>
        <v>0</v>
      </c>
      <c r="I23" s="68">
        <f>IFERROR(F23*'As-Filed Schedule 1'!$E$103,0)</f>
        <v>0</v>
      </c>
      <c r="J23" s="310">
        <f>IFERROR(H23*'Adjusted Schedule 1'!$E$104,0)</f>
        <v>0</v>
      </c>
      <c r="K23" s="68">
        <f t="shared" si="1"/>
        <v>0</v>
      </c>
      <c r="L23" s="310">
        <f t="shared" si="2"/>
        <v>0</v>
      </c>
      <c r="N23" s="117">
        <f>'As-Filed Schedule 2K'!J23</f>
        <v>0</v>
      </c>
      <c r="O23" s="313">
        <f>SUMIFS(Adjustments!$G:$G,Adjustments!$H:$H,"2K",Adjustments!$I:$I,'Schedule 2K Adjustments'!$N$12,Adjustments!$J:$J,'Schedule 2K Adjustments'!$A23)</f>
        <v>0</v>
      </c>
      <c r="P23" s="309">
        <f t="shared" si="3"/>
        <v>0</v>
      </c>
      <c r="Q23" s="68">
        <f>IFERROR(N23*'As-Filed Schedule 1'!$E$103,0)</f>
        <v>0</v>
      </c>
      <c r="R23" s="68">
        <f>IFERROR(P23*'Adjusted Schedule 1'!$E$104,0)</f>
        <v>0</v>
      </c>
      <c r="S23" s="68">
        <f t="shared" si="4"/>
        <v>0</v>
      </c>
      <c r="T23" s="310">
        <f t="shared" si="5"/>
        <v>0</v>
      </c>
      <c r="V23" s="120">
        <f>'As-Filed Schedule 2K'!N23</f>
        <v>0</v>
      </c>
      <c r="W23" s="313">
        <f>SUMIFS(Adjustments!$G:$G,Adjustments!$H:$H,"2K",Adjustments!$I:$I,'Schedule 2K Adjustments'!$V$12,Adjustments!$J:$J,'Schedule 2K Adjustments'!$A23)</f>
        <v>0</v>
      </c>
      <c r="X23" s="309">
        <f t="shared" si="6"/>
        <v>0</v>
      </c>
      <c r="Y23" s="120">
        <f>'As-Filed Schedule 2K'!O23</f>
        <v>0</v>
      </c>
      <c r="Z23" s="313">
        <f>SUMIFS(Adjustments!$G:$G,Adjustments!$H:$H,"2K",Adjustments!$I:$I,'Schedule 2K Adjustments'!$Y$12,Adjustments!$J:$J,'Schedule 2K Adjustments'!$A23)</f>
        <v>0</v>
      </c>
      <c r="AA23" s="309">
        <f t="shared" si="7"/>
        <v>0</v>
      </c>
    </row>
    <row r="24" spans="1:27" x14ac:dyDescent="0.35">
      <c r="A24" s="24">
        <v>10</v>
      </c>
      <c r="B24" s="507" t="str">
        <f>IF('As-Filed Schedule 2K'!B24:D24=0,"",'As-Filed Schedule 2K'!B24:D24)</f>
        <v/>
      </c>
      <c r="C24" s="507"/>
      <c r="D24" s="507"/>
      <c r="F24" s="117">
        <f>'As-Filed Schedule 2K'!F24</f>
        <v>0</v>
      </c>
      <c r="G24" s="313">
        <f>SUMIFS(Adjustments!$G:$G,Adjustments!$H:$H,"2K",Adjustments!$I:$I,'Schedule 2K Adjustments'!$F$12,Adjustments!$J:$J,'Schedule 2K Adjustments'!$A24)</f>
        <v>0</v>
      </c>
      <c r="H24" s="309">
        <f t="shared" si="0"/>
        <v>0</v>
      </c>
      <c r="I24" s="68">
        <f>IFERROR(F24*'As-Filed Schedule 1'!$E$103,0)</f>
        <v>0</v>
      </c>
      <c r="J24" s="310">
        <f>IFERROR(H24*'Adjusted Schedule 1'!$E$104,0)</f>
        <v>0</v>
      </c>
      <c r="K24" s="68">
        <f t="shared" si="1"/>
        <v>0</v>
      </c>
      <c r="L24" s="310">
        <f t="shared" si="2"/>
        <v>0</v>
      </c>
      <c r="N24" s="117">
        <f>'As-Filed Schedule 2K'!J24</f>
        <v>0</v>
      </c>
      <c r="O24" s="313">
        <f>SUMIFS(Adjustments!$G:$G,Adjustments!$H:$H,"2K",Adjustments!$I:$I,'Schedule 2K Adjustments'!$N$12,Adjustments!$J:$J,'Schedule 2K Adjustments'!$A24)</f>
        <v>0</v>
      </c>
      <c r="P24" s="309">
        <f t="shared" si="3"/>
        <v>0</v>
      </c>
      <c r="Q24" s="68">
        <f>IFERROR(N24*'As-Filed Schedule 1'!$E$103,0)</f>
        <v>0</v>
      </c>
      <c r="R24" s="68">
        <f>IFERROR(P24*'Adjusted Schedule 1'!$E$104,0)</f>
        <v>0</v>
      </c>
      <c r="S24" s="68">
        <f t="shared" si="4"/>
        <v>0</v>
      </c>
      <c r="T24" s="310">
        <f t="shared" si="5"/>
        <v>0</v>
      </c>
      <c r="V24" s="120">
        <f>'As-Filed Schedule 2K'!N24</f>
        <v>0</v>
      </c>
      <c r="W24" s="313">
        <f>SUMIFS(Adjustments!$G:$G,Adjustments!$H:$H,"2K",Adjustments!$I:$I,'Schedule 2K Adjustments'!$V$12,Adjustments!$J:$J,'Schedule 2K Adjustments'!$A24)</f>
        <v>0</v>
      </c>
      <c r="X24" s="309">
        <f t="shared" si="6"/>
        <v>0</v>
      </c>
      <c r="Y24" s="120">
        <f>'As-Filed Schedule 2K'!O24</f>
        <v>0</v>
      </c>
      <c r="Z24" s="313">
        <f>SUMIFS(Adjustments!$G:$G,Adjustments!$H:$H,"2K",Adjustments!$I:$I,'Schedule 2K Adjustments'!$Y$12,Adjustments!$J:$J,'Schedule 2K Adjustments'!$A24)</f>
        <v>0</v>
      </c>
      <c r="AA24" s="309">
        <f t="shared" si="7"/>
        <v>0</v>
      </c>
    </row>
    <row r="25" spans="1:27" x14ac:dyDescent="0.35">
      <c r="A25" s="24">
        <v>11</v>
      </c>
      <c r="B25" s="507" t="str">
        <f>IF('As-Filed Schedule 2K'!B25:D25=0,"",'As-Filed Schedule 2K'!B25:D25)</f>
        <v/>
      </c>
      <c r="C25" s="507"/>
      <c r="D25" s="507"/>
      <c r="F25" s="117">
        <f>'As-Filed Schedule 2K'!F25</f>
        <v>0</v>
      </c>
      <c r="G25" s="313">
        <f>SUMIFS(Adjustments!$G:$G,Adjustments!$H:$H,"2K",Adjustments!$I:$I,'Schedule 2K Adjustments'!$F$12,Adjustments!$J:$J,'Schedule 2K Adjustments'!$A25)</f>
        <v>0</v>
      </c>
      <c r="H25" s="309">
        <f t="shared" si="0"/>
        <v>0</v>
      </c>
      <c r="I25" s="68">
        <f>IFERROR(F25*'As-Filed Schedule 1'!$E$103,0)</f>
        <v>0</v>
      </c>
      <c r="J25" s="310">
        <f>IFERROR(H25*'Adjusted Schedule 1'!$E$104,0)</f>
        <v>0</v>
      </c>
      <c r="K25" s="68">
        <f t="shared" si="1"/>
        <v>0</v>
      </c>
      <c r="L25" s="310">
        <f t="shared" si="2"/>
        <v>0</v>
      </c>
      <c r="N25" s="117">
        <f>'As-Filed Schedule 2K'!J25</f>
        <v>0</v>
      </c>
      <c r="O25" s="313">
        <f>SUMIFS(Adjustments!$G:$G,Adjustments!$H:$H,"2K",Adjustments!$I:$I,'Schedule 2K Adjustments'!$N$12,Adjustments!$J:$J,'Schedule 2K Adjustments'!$A25)</f>
        <v>0</v>
      </c>
      <c r="P25" s="309">
        <f t="shared" si="3"/>
        <v>0</v>
      </c>
      <c r="Q25" s="68">
        <f>IFERROR(N25*'As-Filed Schedule 1'!$E$103,0)</f>
        <v>0</v>
      </c>
      <c r="R25" s="68">
        <f>IFERROR(P25*'Adjusted Schedule 1'!$E$104,0)</f>
        <v>0</v>
      </c>
      <c r="S25" s="68">
        <f t="shared" si="4"/>
        <v>0</v>
      </c>
      <c r="T25" s="310">
        <f t="shared" si="5"/>
        <v>0</v>
      </c>
      <c r="V25" s="120">
        <f>'As-Filed Schedule 2K'!N25</f>
        <v>0</v>
      </c>
      <c r="W25" s="313">
        <f>SUMIFS(Adjustments!$G:$G,Adjustments!$H:$H,"2K",Adjustments!$I:$I,'Schedule 2K Adjustments'!$V$12,Adjustments!$J:$J,'Schedule 2K Adjustments'!$A25)</f>
        <v>0</v>
      </c>
      <c r="X25" s="309">
        <f t="shared" si="6"/>
        <v>0</v>
      </c>
      <c r="Y25" s="120">
        <f>'As-Filed Schedule 2K'!O25</f>
        <v>0</v>
      </c>
      <c r="Z25" s="313">
        <f>SUMIFS(Adjustments!$G:$G,Adjustments!$H:$H,"2K",Adjustments!$I:$I,'Schedule 2K Adjustments'!$Y$12,Adjustments!$J:$J,'Schedule 2K Adjustments'!$A25)</f>
        <v>0</v>
      </c>
      <c r="AA25" s="309">
        <f t="shared" si="7"/>
        <v>0</v>
      </c>
    </row>
    <row r="26" spans="1:27" x14ac:dyDescent="0.35">
      <c r="A26" s="24">
        <v>12</v>
      </c>
      <c r="B26" s="507" t="str">
        <f>IF('As-Filed Schedule 2K'!B26:D26=0,"",'As-Filed Schedule 2K'!B26:D26)</f>
        <v/>
      </c>
      <c r="C26" s="507"/>
      <c r="D26" s="507"/>
      <c r="F26" s="117">
        <f>'As-Filed Schedule 2K'!F26</f>
        <v>0</v>
      </c>
      <c r="G26" s="313">
        <f>SUMIFS(Adjustments!$G:$G,Adjustments!$H:$H,"2K",Adjustments!$I:$I,'Schedule 2K Adjustments'!$F$12,Adjustments!$J:$J,'Schedule 2K Adjustments'!$A26)</f>
        <v>0</v>
      </c>
      <c r="H26" s="309">
        <f t="shared" si="0"/>
        <v>0</v>
      </c>
      <c r="I26" s="68">
        <f>IFERROR(F26*'As-Filed Schedule 1'!$E$103,0)</f>
        <v>0</v>
      </c>
      <c r="J26" s="310">
        <f>IFERROR(H26*'Adjusted Schedule 1'!$E$104,0)</f>
        <v>0</v>
      </c>
      <c r="K26" s="68">
        <f t="shared" si="1"/>
        <v>0</v>
      </c>
      <c r="L26" s="310">
        <f t="shared" si="2"/>
        <v>0</v>
      </c>
      <c r="N26" s="117">
        <f>'As-Filed Schedule 2K'!J26</f>
        <v>0</v>
      </c>
      <c r="O26" s="313">
        <f>SUMIFS(Adjustments!$G:$G,Adjustments!$H:$H,"2K",Adjustments!$I:$I,'Schedule 2K Adjustments'!$N$12,Adjustments!$J:$J,'Schedule 2K Adjustments'!$A26)</f>
        <v>0</v>
      </c>
      <c r="P26" s="309">
        <f t="shared" si="3"/>
        <v>0</v>
      </c>
      <c r="Q26" s="68">
        <f>IFERROR(N26*'As-Filed Schedule 1'!$E$103,0)</f>
        <v>0</v>
      </c>
      <c r="R26" s="68">
        <f>IFERROR(P26*'Adjusted Schedule 1'!$E$104,0)</f>
        <v>0</v>
      </c>
      <c r="S26" s="68">
        <f t="shared" si="4"/>
        <v>0</v>
      </c>
      <c r="T26" s="310">
        <f t="shared" si="5"/>
        <v>0</v>
      </c>
      <c r="V26" s="120">
        <f>'As-Filed Schedule 2K'!N26</f>
        <v>0</v>
      </c>
      <c r="W26" s="313">
        <f>SUMIFS(Adjustments!$G:$G,Adjustments!$H:$H,"2K",Adjustments!$I:$I,'Schedule 2K Adjustments'!$V$12,Adjustments!$J:$J,'Schedule 2K Adjustments'!$A26)</f>
        <v>0</v>
      </c>
      <c r="X26" s="309">
        <f t="shared" si="6"/>
        <v>0</v>
      </c>
      <c r="Y26" s="120">
        <f>'As-Filed Schedule 2K'!O26</f>
        <v>0</v>
      </c>
      <c r="Z26" s="313">
        <f>SUMIFS(Adjustments!$G:$G,Adjustments!$H:$H,"2K",Adjustments!$I:$I,'Schedule 2K Adjustments'!$Y$12,Adjustments!$J:$J,'Schedule 2K Adjustments'!$A26)</f>
        <v>0</v>
      </c>
      <c r="AA26" s="309">
        <f t="shared" si="7"/>
        <v>0</v>
      </c>
    </row>
    <row r="27" spans="1:27" x14ac:dyDescent="0.35">
      <c r="A27" s="24">
        <v>13</v>
      </c>
      <c r="B27" s="507" t="str">
        <f>IF('As-Filed Schedule 2K'!B27:D27=0,"",'As-Filed Schedule 2K'!B27:D27)</f>
        <v/>
      </c>
      <c r="C27" s="507"/>
      <c r="D27" s="507"/>
      <c r="F27" s="117">
        <f>'As-Filed Schedule 2K'!F27</f>
        <v>0</v>
      </c>
      <c r="G27" s="313">
        <f>SUMIFS(Adjustments!$G:$G,Adjustments!$H:$H,"2K",Adjustments!$I:$I,'Schedule 2K Adjustments'!$F$12,Adjustments!$J:$J,'Schedule 2K Adjustments'!$A27)</f>
        <v>0</v>
      </c>
      <c r="H27" s="309">
        <f t="shared" si="0"/>
        <v>0</v>
      </c>
      <c r="I27" s="68">
        <f>IFERROR(F27*'As-Filed Schedule 1'!$E$103,0)</f>
        <v>0</v>
      </c>
      <c r="J27" s="310">
        <f>IFERROR(H27*'Adjusted Schedule 1'!$E$104,0)</f>
        <v>0</v>
      </c>
      <c r="K27" s="68">
        <f t="shared" si="1"/>
        <v>0</v>
      </c>
      <c r="L27" s="310">
        <f t="shared" si="2"/>
        <v>0</v>
      </c>
      <c r="N27" s="117">
        <f>'As-Filed Schedule 2K'!J27</f>
        <v>0</v>
      </c>
      <c r="O27" s="313">
        <f>SUMIFS(Adjustments!$G:$G,Adjustments!$H:$H,"2K",Adjustments!$I:$I,'Schedule 2K Adjustments'!$N$12,Adjustments!$J:$J,'Schedule 2K Adjustments'!$A27)</f>
        <v>0</v>
      </c>
      <c r="P27" s="309">
        <f t="shared" si="3"/>
        <v>0</v>
      </c>
      <c r="Q27" s="68">
        <f>IFERROR(N27*'As-Filed Schedule 1'!$E$103,0)</f>
        <v>0</v>
      </c>
      <c r="R27" s="68">
        <f>IFERROR(P27*'Adjusted Schedule 1'!$E$104,0)</f>
        <v>0</v>
      </c>
      <c r="S27" s="68">
        <f t="shared" si="4"/>
        <v>0</v>
      </c>
      <c r="T27" s="310">
        <f t="shared" si="5"/>
        <v>0</v>
      </c>
      <c r="V27" s="120">
        <f>'As-Filed Schedule 2K'!N27</f>
        <v>0</v>
      </c>
      <c r="W27" s="313">
        <f>SUMIFS(Adjustments!$G:$G,Adjustments!$H:$H,"2K",Adjustments!$I:$I,'Schedule 2K Adjustments'!$V$12,Adjustments!$J:$J,'Schedule 2K Adjustments'!$A27)</f>
        <v>0</v>
      </c>
      <c r="X27" s="309">
        <f t="shared" si="6"/>
        <v>0</v>
      </c>
      <c r="Y27" s="120">
        <f>'As-Filed Schedule 2K'!O27</f>
        <v>0</v>
      </c>
      <c r="Z27" s="313">
        <f>SUMIFS(Adjustments!$G:$G,Adjustments!$H:$H,"2K",Adjustments!$I:$I,'Schedule 2K Adjustments'!$Y$12,Adjustments!$J:$J,'Schedule 2K Adjustments'!$A27)</f>
        <v>0</v>
      </c>
      <c r="AA27" s="309">
        <f t="shared" si="7"/>
        <v>0</v>
      </c>
    </row>
    <row r="28" spans="1:27" x14ac:dyDescent="0.35">
      <c r="A28" s="24">
        <v>14</v>
      </c>
      <c r="B28" s="507" t="str">
        <f>IF('As-Filed Schedule 2K'!B28:D28=0,"",'As-Filed Schedule 2K'!B28:D28)</f>
        <v/>
      </c>
      <c r="C28" s="507"/>
      <c r="D28" s="507"/>
      <c r="F28" s="117">
        <f>'As-Filed Schedule 2K'!F28</f>
        <v>0</v>
      </c>
      <c r="G28" s="313">
        <f>SUMIFS(Adjustments!$G:$G,Adjustments!$H:$H,"2K",Adjustments!$I:$I,'Schedule 2K Adjustments'!$F$12,Adjustments!$J:$J,'Schedule 2K Adjustments'!$A28)</f>
        <v>0</v>
      </c>
      <c r="H28" s="309">
        <f t="shared" si="0"/>
        <v>0</v>
      </c>
      <c r="I28" s="68">
        <f>IFERROR(F28*'As-Filed Schedule 1'!$E$103,0)</f>
        <v>0</v>
      </c>
      <c r="J28" s="310">
        <f>IFERROR(H28*'Adjusted Schedule 1'!$E$104,0)</f>
        <v>0</v>
      </c>
      <c r="K28" s="68">
        <f t="shared" si="1"/>
        <v>0</v>
      </c>
      <c r="L28" s="310">
        <f t="shared" si="2"/>
        <v>0</v>
      </c>
      <c r="N28" s="117">
        <f>'As-Filed Schedule 2K'!J28</f>
        <v>0</v>
      </c>
      <c r="O28" s="313">
        <f>SUMIFS(Adjustments!$G:$G,Adjustments!$H:$H,"2K",Adjustments!$I:$I,'Schedule 2K Adjustments'!$N$12,Adjustments!$J:$J,'Schedule 2K Adjustments'!$A28)</f>
        <v>0</v>
      </c>
      <c r="P28" s="309">
        <f t="shared" si="3"/>
        <v>0</v>
      </c>
      <c r="Q28" s="68">
        <f>IFERROR(N28*'As-Filed Schedule 1'!$E$103,0)</f>
        <v>0</v>
      </c>
      <c r="R28" s="68">
        <f>IFERROR(P28*'Adjusted Schedule 1'!$E$104,0)</f>
        <v>0</v>
      </c>
      <c r="S28" s="68">
        <f t="shared" si="4"/>
        <v>0</v>
      </c>
      <c r="T28" s="310">
        <f t="shared" si="5"/>
        <v>0</v>
      </c>
      <c r="V28" s="120">
        <f>'As-Filed Schedule 2K'!N28</f>
        <v>0</v>
      </c>
      <c r="W28" s="313">
        <f>SUMIFS(Adjustments!$G:$G,Adjustments!$H:$H,"2K",Adjustments!$I:$I,'Schedule 2K Adjustments'!$V$12,Adjustments!$J:$J,'Schedule 2K Adjustments'!$A28)</f>
        <v>0</v>
      </c>
      <c r="X28" s="309">
        <f t="shared" si="6"/>
        <v>0</v>
      </c>
      <c r="Y28" s="120">
        <f>'As-Filed Schedule 2K'!O28</f>
        <v>0</v>
      </c>
      <c r="Z28" s="313">
        <f>SUMIFS(Adjustments!$G:$G,Adjustments!$H:$H,"2K",Adjustments!$I:$I,'Schedule 2K Adjustments'!$Y$12,Adjustments!$J:$J,'Schedule 2K Adjustments'!$A28)</f>
        <v>0</v>
      </c>
      <c r="AA28" s="309">
        <f t="shared" si="7"/>
        <v>0</v>
      </c>
    </row>
    <row r="29" spans="1:27" x14ac:dyDescent="0.35">
      <c r="A29" s="24">
        <v>15</v>
      </c>
      <c r="B29" s="507" t="str">
        <f>IF('As-Filed Schedule 2K'!B29:D29=0,"",'As-Filed Schedule 2K'!B29:D29)</f>
        <v/>
      </c>
      <c r="C29" s="507"/>
      <c r="D29" s="507"/>
      <c r="F29" s="117">
        <f>'As-Filed Schedule 2K'!F29</f>
        <v>0</v>
      </c>
      <c r="G29" s="313">
        <f>SUMIFS(Adjustments!$G:$G,Adjustments!$H:$H,"2K",Adjustments!$I:$I,'Schedule 2K Adjustments'!$F$12,Adjustments!$J:$J,'Schedule 2K Adjustments'!$A29)</f>
        <v>0</v>
      </c>
      <c r="H29" s="309">
        <f t="shared" si="0"/>
        <v>0</v>
      </c>
      <c r="I29" s="68">
        <f>IFERROR(F29*'As-Filed Schedule 1'!$E$103,0)</f>
        <v>0</v>
      </c>
      <c r="J29" s="310">
        <f>IFERROR(H29*'Adjusted Schedule 1'!$E$104,0)</f>
        <v>0</v>
      </c>
      <c r="K29" s="68">
        <f t="shared" si="1"/>
        <v>0</v>
      </c>
      <c r="L29" s="310">
        <f t="shared" si="2"/>
        <v>0</v>
      </c>
      <c r="N29" s="117">
        <f>'As-Filed Schedule 2K'!J29</f>
        <v>0</v>
      </c>
      <c r="O29" s="313">
        <f>SUMIFS(Adjustments!$G:$G,Adjustments!$H:$H,"2K",Adjustments!$I:$I,'Schedule 2K Adjustments'!$N$12,Adjustments!$J:$J,'Schedule 2K Adjustments'!$A29)</f>
        <v>0</v>
      </c>
      <c r="P29" s="309">
        <f t="shared" si="3"/>
        <v>0</v>
      </c>
      <c r="Q29" s="68">
        <f>IFERROR(N29*'As-Filed Schedule 1'!$E$103,0)</f>
        <v>0</v>
      </c>
      <c r="R29" s="68">
        <f>IFERROR(P29*'Adjusted Schedule 1'!$E$104,0)</f>
        <v>0</v>
      </c>
      <c r="S29" s="68">
        <f t="shared" si="4"/>
        <v>0</v>
      </c>
      <c r="T29" s="310">
        <f t="shared" si="5"/>
        <v>0</v>
      </c>
      <c r="V29" s="120">
        <f>'As-Filed Schedule 2K'!N29</f>
        <v>0</v>
      </c>
      <c r="W29" s="313">
        <f>SUMIFS(Adjustments!$G:$G,Adjustments!$H:$H,"2K",Adjustments!$I:$I,'Schedule 2K Adjustments'!$V$12,Adjustments!$J:$J,'Schedule 2K Adjustments'!$A29)</f>
        <v>0</v>
      </c>
      <c r="X29" s="309">
        <f t="shared" si="6"/>
        <v>0</v>
      </c>
      <c r="Y29" s="120">
        <f>'As-Filed Schedule 2K'!O29</f>
        <v>0</v>
      </c>
      <c r="Z29" s="313">
        <f>SUMIFS(Adjustments!$G:$G,Adjustments!$H:$H,"2K",Adjustments!$I:$I,'Schedule 2K Adjustments'!$Y$12,Adjustments!$J:$J,'Schedule 2K Adjustments'!$A29)</f>
        <v>0</v>
      </c>
      <c r="AA29" s="309">
        <f t="shared" si="7"/>
        <v>0</v>
      </c>
    </row>
    <row r="30" spans="1:27" x14ac:dyDescent="0.35">
      <c r="A30" s="24">
        <v>16</v>
      </c>
      <c r="B30" s="507" t="str">
        <f>IF('As-Filed Schedule 2K'!B30:D30=0,"",'As-Filed Schedule 2K'!B30:D30)</f>
        <v/>
      </c>
      <c r="C30" s="507"/>
      <c r="D30" s="507"/>
      <c r="F30" s="117">
        <f>'As-Filed Schedule 2K'!F30</f>
        <v>0</v>
      </c>
      <c r="G30" s="313">
        <f>SUMIFS(Adjustments!$G:$G,Adjustments!$H:$H,"2K",Adjustments!$I:$I,'Schedule 2K Adjustments'!$F$12,Adjustments!$J:$J,'Schedule 2K Adjustments'!$A30)</f>
        <v>0</v>
      </c>
      <c r="H30" s="309">
        <f t="shared" si="0"/>
        <v>0</v>
      </c>
      <c r="I30" s="68">
        <f>IFERROR(F30*'As-Filed Schedule 1'!$E$103,0)</f>
        <v>0</v>
      </c>
      <c r="J30" s="310">
        <f>IFERROR(H30*'Adjusted Schedule 1'!$E$104,0)</f>
        <v>0</v>
      </c>
      <c r="K30" s="68">
        <f t="shared" si="1"/>
        <v>0</v>
      </c>
      <c r="L30" s="310">
        <f t="shared" si="2"/>
        <v>0</v>
      </c>
      <c r="N30" s="117">
        <f>'As-Filed Schedule 2K'!J30</f>
        <v>0</v>
      </c>
      <c r="O30" s="313">
        <f>SUMIFS(Adjustments!$G:$G,Adjustments!$H:$H,"2K",Adjustments!$I:$I,'Schedule 2K Adjustments'!$N$12,Adjustments!$J:$J,'Schedule 2K Adjustments'!$A30)</f>
        <v>0</v>
      </c>
      <c r="P30" s="309">
        <f t="shared" si="3"/>
        <v>0</v>
      </c>
      <c r="Q30" s="68">
        <f>IFERROR(N30*'As-Filed Schedule 1'!$E$103,0)</f>
        <v>0</v>
      </c>
      <c r="R30" s="68">
        <f>IFERROR(P30*'Adjusted Schedule 1'!$E$104,0)</f>
        <v>0</v>
      </c>
      <c r="S30" s="68">
        <f t="shared" si="4"/>
        <v>0</v>
      </c>
      <c r="T30" s="310">
        <f t="shared" si="5"/>
        <v>0</v>
      </c>
      <c r="V30" s="120">
        <f>'As-Filed Schedule 2K'!N30</f>
        <v>0</v>
      </c>
      <c r="W30" s="313">
        <f>SUMIFS(Adjustments!$G:$G,Adjustments!$H:$H,"2K",Adjustments!$I:$I,'Schedule 2K Adjustments'!$V$12,Adjustments!$J:$J,'Schedule 2K Adjustments'!$A30)</f>
        <v>0</v>
      </c>
      <c r="X30" s="309">
        <f t="shared" si="6"/>
        <v>0</v>
      </c>
      <c r="Y30" s="120">
        <f>'As-Filed Schedule 2K'!O30</f>
        <v>0</v>
      </c>
      <c r="Z30" s="313">
        <f>SUMIFS(Adjustments!$G:$G,Adjustments!$H:$H,"2K",Adjustments!$I:$I,'Schedule 2K Adjustments'!$Y$12,Adjustments!$J:$J,'Schedule 2K Adjustments'!$A30)</f>
        <v>0</v>
      </c>
      <c r="AA30" s="309">
        <f t="shared" si="7"/>
        <v>0</v>
      </c>
    </row>
    <row r="31" spans="1:27" x14ac:dyDescent="0.35">
      <c r="A31" s="24">
        <v>17</v>
      </c>
      <c r="B31" s="507" t="str">
        <f>IF('As-Filed Schedule 2K'!B31:D31=0,"",'As-Filed Schedule 2K'!B31:D31)</f>
        <v/>
      </c>
      <c r="C31" s="507"/>
      <c r="D31" s="507"/>
      <c r="F31" s="117">
        <f>'As-Filed Schedule 2K'!F31</f>
        <v>0</v>
      </c>
      <c r="G31" s="313">
        <f>SUMIFS(Adjustments!$G:$G,Adjustments!$H:$H,"2K",Adjustments!$I:$I,'Schedule 2K Adjustments'!$F$12,Adjustments!$J:$J,'Schedule 2K Adjustments'!$A31)</f>
        <v>0</v>
      </c>
      <c r="H31" s="309">
        <f t="shared" si="0"/>
        <v>0</v>
      </c>
      <c r="I31" s="68">
        <f>IFERROR(F31*'As-Filed Schedule 1'!$E$103,0)</f>
        <v>0</v>
      </c>
      <c r="J31" s="310">
        <f>IFERROR(H31*'Adjusted Schedule 1'!$E$104,0)</f>
        <v>0</v>
      </c>
      <c r="K31" s="68">
        <f t="shared" si="1"/>
        <v>0</v>
      </c>
      <c r="L31" s="310">
        <f t="shared" si="2"/>
        <v>0</v>
      </c>
      <c r="N31" s="117">
        <f>'As-Filed Schedule 2K'!J31</f>
        <v>0</v>
      </c>
      <c r="O31" s="313">
        <f>SUMIFS(Adjustments!$G:$G,Adjustments!$H:$H,"2K",Adjustments!$I:$I,'Schedule 2K Adjustments'!$N$12,Adjustments!$J:$J,'Schedule 2K Adjustments'!$A31)</f>
        <v>0</v>
      </c>
      <c r="P31" s="309">
        <f t="shared" si="3"/>
        <v>0</v>
      </c>
      <c r="Q31" s="68">
        <f>IFERROR(N31*'As-Filed Schedule 1'!$E$103,0)</f>
        <v>0</v>
      </c>
      <c r="R31" s="68">
        <f>IFERROR(P31*'Adjusted Schedule 1'!$E$104,0)</f>
        <v>0</v>
      </c>
      <c r="S31" s="68">
        <f t="shared" si="4"/>
        <v>0</v>
      </c>
      <c r="T31" s="310">
        <f t="shared" si="5"/>
        <v>0</v>
      </c>
      <c r="V31" s="120">
        <f>'As-Filed Schedule 2K'!N31</f>
        <v>0</v>
      </c>
      <c r="W31" s="313">
        <f>SUMIFS(Adjustments!$G:$G,Adjustments!$H:$H,"2K",Adjustments!$I:$I,'Schedule 2K Adjustments'!$V$12,Adjustments!$J:$J,'Schedule 2K Adjustments'!$A31)</f>
        <v>0</v>
      </c>
      <c r="X31" s="309">
        <f t="shared" si="6"/>
        <v>0</v>
      </c>
      <c r="Y31" s="120">
        <f>'As-Filed Schedule 2K'!O31</f>
        <v>0</v>
      </c>
      <c r="Z31" s="313">
        <f>SUMIFS(Adjustments!$G:$G,Adjustments!$H:$H,"2K",Adjustments!$I:$I,'Schedule 2K Adjustments'!$Y$12,Adjustments!$J:$J,'Schedule 2K Adjustments'!$A31)</f>
        <v>0</v>
      </c>
      <c r="AA31" s="309">
        <f t="shared" si="7"/>
        <v>0</v>
      </c>
    </row>
    <row r="32" spans="1:27" x14ac:dyDescent="0.35">
      <c r="A32" s="24">
        <v>18</v>
      </c>
      <c r="B32" s="507" t="str">
        <f>IF('As-Filed Schedule 2K'!B32:D32=0,"",'As-Filed Schedule 2K'!B32:D32)</f>
        <v/>
      </c>
      <c r="C32" s="507"/>
      <c r="D32" s="507"/>
      <c r="F32" s="117">
        <f>'As-Filed Schedule 2K'!F32</f>
        <v>0</v>
      </c>
      <c r="G32" s="313">
        <f>SUMIFS(Adjustments!$G:$G,Adjustments!$H:$H,"2K",Adjustments!$I:$I,'Schedule 2K Adjustments'!$F$12,Adjustments!$J:$J,'Schedule 2K Adjustments'!$A32)</f>
        <v>0</v>
      </c>
      <c r="H32" s="309">
        <f t="shared" si="0"/>
        <v>0</v>
      </c>
      <c r="I32" s="68">
        <f>IFERROR(F32*'As-Filed Schedule 1'!$E$103,0)</f>
        <v>0</v>
      </c>
      <c r="J32" s="310">
        <f>IFERROR(H32*'Adjusted Schedule 1'!$E$104,0)</f>
        <v>0</v>
      </c>
      <c r="K32" s="68">
        <f t="shared" si="1"/>
        <v>0</v>
      </c>
      <c r="L32" s="310">
        <f t="shared" si="2"/>
        <v>0</v>
      </c>
      <c r="N32" s="117">
        <f>'As-Filed Schedule 2K'!J32</f>
        <v>0</v>
      </c>
      <c r="O32" s="313">
        <f>SUMIFS(Adjustments!$G:$G,Adjustments!$H:$H,"2K",Adjustments!$I:$I,'Schedule 2K Adjustments'!$N$12,Adjustments!$J:$J,'Schedule 2K Adjustments'!$A32)</f>
        <v>0</v>
      </c>
      <c r="P32" s="309">
        <f t="shared" si="3"/>
        <v>0</v>
      </c>
      <c r="Q32" s="68">
        <f>IFERROR(N32*'As-Filed Schedule 1'!$E$103,0)</f>
        <v>0</v>
      </c>
      <c r="R32" s="68">
        <f>IFERROR(P32*'Adjusted Schedule 1'!$E$104,0)</f>
        <v>0</v>
      </c>
      <c r="S32" s="68">
        <f t="shared" si="4"/>
        <v>0</v>
      </c>
      <c r="T32" s="310">
        <f t="shared" si="5"/>
        <v>0</v>
      </c>
      <c r="V32" s="120">
        <f>'As-Filed Schedule 2K'!N32</f>
        <v>0</v>
      </c>
      <c r="W32" s="313">
        <f>SUMIFS(Adjustments!$G:$G,Adjustments!$H:$H,"2K",Adjustments!$I:$I,'Schedule 2K Adjustments'!$V$12,Adjustments!$J:$J,'Schedule 2K Adjustments'!$A32)</f>
        <v>0</v>
      </c>
      <c r="X32" s="309">
        <f t="shared" si="6"/>
        <v>0</v>
      </c>
      <c r="Y32" s="120">
        <f>'As-Filed Schedule 2K'!O32</f>
        <v>0</v>
      </c>
      <c r="Z32" s="313">
        <f>SUMIFS(Adjustments!$G:$G,Adjustments!$H:$H,"2K",Adjustments!$I:$I,'Schedule 2K Adjustments'!$Y$12,Adjustments!$J:$J,'Schedule 2K Adjustments'!$A32)</f>
        <v>0</v>
      </c>
      <c r="AA32" s="309">
        <f t="shared" si="7"/>
        <v>0</v>
      </c>
    </row>
    <row r="33" spans="1:27" x14ac:dyDescent="0.35">
      <c r="A33" s="24">
        <v>19</v>
      </c>
      <c r="B33" s="507" t="str">
        <f>IF('As-Filed Schedule 2K'!B33:D33=0,"",'As-Filed Schedule 2K'!B33:D33)</f>
        <v/>
      </c>
      <c r="C33" s="507"/>
      <c r="D33" s="507"/>
      <c r="F33" s="117">
        <f>'As-Filed Schedule 2K'!F33</f>
        <v>0</v>
      </c>
      <c r="G33" s="313">
        <f>SUMIFS(Adjustments!$G:$G,Adjustments!$H:$H,"2K",Adjustments!$I:$I,'Schedule 2K Adjustments'!$F$12,Adjustments!$J:$J,'Schedule 2K Adjustments'!$A33)</f>
        <v>0</v>
      </c>
      <c r="H33" s="309">
        <f t="shared" si="0"/>
        <v>0</v>
      </c>
      <c r="I33" s="68">
        <f>IFERROR(F33*'As-Filed Schedule 1'!$E$103,0)</f>
        <v>0</v>
      </c>
      <c r="J33" s="310">
        <f>IFERROR(H33*'Adjusted Schedule 1'!$E$104,0)</f>
        <v>0</v>
      </c>
      <c r="K33" s="68">
        <f t="shared" si="1"/>
        <v>0</v>
      </c>
      <c r="L33" s="310">
        <f t="shared" si="2"/>
        <v>0</v>
      </c>
      <c r="N33" s="117">
        <f>'As-Filed Schedule 2K'!J33</f>
        <v>0</v>
      </c>
      <c r="O33" s="313">
        <f>SUMIFS(Adjustments!$G:$G,Adjustments!$H:$H,"2K",Adjustments!$I:$I,'Schedule 2K Adjustments'!$N$12,Adjustments!$J:$J,'Schedule 2K Adjustments'!$A33)</f>
        <v>0</v>
      </c>
      <c r="P33" s="309">
        <f t="shared" si="3"/>
        <v>0</v>
      </c>
      <c r="Q33" s="68">
        <f>IFERROR(N33*'As-Filed Schedule 1'!$E$103,0)</f>
        <v>0</v>
      </c>
      <c r="R33" s="68">
        <f>IFERROR(P33*'Adjusted Schedule 1'!$E$104,0)</f>
        <v>0</v>
      </c>
      <c r="S33" s="68">
        <f t="shared" si="4"/>
        <v>0</v>
      </c>
      <c r="T33" s="310">
        <f t="shared" si="5"/>
        <v>0</v>
      </c>
      <c r="V33" s="120">
        <f>'As-Filed Schedule 2K'!N33</f>
        <v>0</v>
      </c>
      <c r="W33" s="313">
        <f>SUMIFS(Adjustments!$G:$G,Adjustments!$H:$H,"2K",Adjustments!$I:$I,'Schedule 2K Adjustments'!$V$12,Adjustments!$J:$J,'Schedule 2K Adjustments'!$A33)</f>
        <v>0</v>
      </c>
      <c r="X33" s="309">
        <f t="shared" si="6"/>
        <v>0</v>
      </c>
      <c r="Y33" s="120">
        <f>'As-Filed Schedule 2K'!O33</f>
        <v>0</v>
      </c>
      <c r="Z33" s="313">
        <f>SUMIFS(Adjustments!$G:$G,Adjustments!$H:$H,"2K",Adjustments!$I:$I,'Schedule 2K Adjustments'!$Y$12,Adjustments!$J:$J,'Schedule 2K Adjustments'!$A33)</f>
        <v>0</v>
      </c>
      <c r="AA33" s="309">
        <f t="shared" si="7"/>
        <v>0</v>
      </c>
    </row>
    <row r="34" spans="1:27" x14ac:dyDescent="0.35">
      <c r="A34" s="24">
        <v>20</v>
      </c>
      <c r="B34" s="507" t="str">
        <f>IF('As-Filed Schedule 2K'!B34:D34=0,"",'As-Filed Schedule 2K'!B34:D34)</f>
        <v/>
      </c>
      <c r="C34" s="507"/>
      <c r="D34" s="507"/>
      <c r="F34" s="117">
        <f>'As-Filed Schedule 2K'!F34</f>
        <v>0</v>
      </c>
      <c r="G34" s="313">
        <f>SUMIFS(Adjustments!$G:$G,Adjustments!$H:$H,"2K",Adjustments!$I:$I,'Schedule 2K Adjustments'!$F$12,Adjustments!$J:$J,'Schedule 2K Adjustments'!$A34)</f>
        <v>0</v>
      </c>
      <c r="H34" s="309">
        <f t="shared" si="0"/>
        <v>0</v>
      </c>
      <c r="I34" s="68">
        <f>IFERROR(F34*'As-Filed Schedule 1'!$E$103,0)</f>
        <v>0</v>
      </c>
      <c r="J34" s="310">
        <f>IFERROR(H34*'Adjusted Schedule 1'!$E$104,0)</f>
        <v>0</v>
      </c>
      <c r="K34" s="68">
        <f t="shared" si="1"/>
        <v>0</v>
      </c>
      <c r="L34" s="310">
        <f t="shared" si="2"/>
        <v>0</v>
      </c>
      <c r="N34" s="117">
        <f>'As-Filed Schedule 2K'!J34</f>
        <v>0</v>
      </c>
      <c r="O34" s="313">
        <f>SUMIFS(Adjustments!$G:$G,Adjustments!$H:$H,"2K",Adjustments!$I:$I,'Schedule 2K Adjustments'!$N$12,Adjustments!$J:$J,'Schedule 2K Adjustments'!$A34)</f>
        <v>0</v>
      </c>
      <c r="P34" s="309">
        <f t="shared" si="3"/>
        <v>0</v>
      </c>
      <c r="Q34" s="68">
        <f>IFERROR(N34*'As-Filed Schedule 1'!$E$103,0)</f>
        <v>0</v>
      </c>
      <c r="R34" s="68">
        <f>IFERROR(P34*'Adjusted Schedule 1'!$E$104,0)</f>
        <v>0</v>
      </c>
      <c r="S34" s="68">
        <f t="shared" si="4"/>
        <v>0</v>
      </c>
      <c r="T34" s="310">
        <f t="shared" si="5"/>
        <v>0</v>
      </c>
      <c r="V34" s="120">
        <f>'As-Filed Schedule 2K'!N34</f>
        <v>0</v>
      </c>
      <c r="W34" s="313">
        <f>SUMIFS(Adjustments!$G:$G,Adjustments!$H:$H,"2K",Adjustments!$I:$I,'Schedule 2K Adjustments'!$V$12,Adjustments!$J:$J,'Schedule 2K Adjustments'!$A34)</f>
        <v>0</v>
      </c>
      <c r="X34" s="309">
        <f t="shared" si="6"/>
        <v>0</v>
      </c>
      <c r="Y34" s="120">
        <f>'As-Filed Schedule 2K'!O34</f>
        <v>0</v>
      </c>
      <c r="Z34" s="313">
        <f>SUMIFS(Adjustments!$G:$G,Adjustments!$H:$H,"2K",Adjustments!$I:$I,'Schedule 2K Adjustments'!$Y$12,Adjustments!$J:$J,'Schedule 2K Adjustments'!$A34)</f>
        <v>0</v>
      </c>
      <c r="AA34" s="309">
        <f t="shared" si="7"/>
        <v>0</v>
      </c>
    </row>
    <row r="35" spans="1:27" x14ac:dyDescent="0.35">
      <c r="A35" s="24">
        <v>21</v>
      </c>
      <c r="B35" s="507" t="str">
        <f>IF('As-Filed Schedule 2K'!B35:D35=0,"",'As-Filed Schedule 2K'!B35:D35)</f>
        <v/>
      </c>
      <c r="C35" s="507"/>
      <c r="D35" s="507"/>
      <c r="F35" s="117">
        <f>'As-Filed Schedule 2K'!F35</f>
        <v>0</v>
      </c>
      <c r="G35" s="313">
        <f>SUMIFS(Adjustments!$G:$G,Adjustments!$H:$H,"2K",Adjustments!$I:$I,'Schedule 2K Adjustments'!$F$12,Adjustments!$J:$J,'Schedule 2K Adjustments'!$A35)</f>
        <v>0</v>
      </c>
      <c r="H35" s="309">
        <f t="shared" si="0"/>
        <v>0</v>
      </c>
      <c r="I35" s="68">
        <f>IFERROR(F35*'As-Filed Schedule 1'!$E$103,0)</f>
        <v>0</v>
      </c>
      <c r="J35" s="310">
        <f>IFERROR(H35*'Adjusted Schedule 1'!$E$104,0)</f>
        <v>0</v>
      </c>
      <c r="K35" s="68">
        <f t="shared" si="1"/>
        <v>0</v>
      </c>
      <c r="L35" s="310">
        <f t="shared" si="2"/>
        <v>0</v>
      </c>
      <c r="N35" s="117">
        <f>'As-Filed Schedule 2K'!J35</f>
        <v>0</v>
      </c>
      <c r="O35" s="313">
        <f>SUMIFS(Adjustments!$G:$G,Adjustments!$H:$H,"2K",Adjustments!$I:$I,'Schedule 2K Adjustments'!$N$12,Adjustments!$J:$J,'Schedule 2K Adjustments'!$A35)</f>
        <v>0</v>
      </c>
      <c r="P35" s="309">
        <f t="shared" si="3"/>
        <v>0</v>
      </c>
      <c r="Q35" s="68">
        <f>IFERROR(N35*'As-Filed Schedule 1'!$E$103,0)</f>
        <v>0</v>
      </c>
      <c r="R35" s="68">
        <f>IFERROR(P35*'Adjusted Schedule 1'!$E$104,0)</f>
        <v>0</v>
      </c>
      <c r="S35" s="68">
        <f t="shared" si="4"/>
        <v>0</v>
      </c>
      <c r="T35" s="310">
        <f t="shared" si="5"/>
        <v>0</v>
      </c>
      <c r="V35" s="120">
        <f>'As-Filed Schedule 2K'!N35</f>
        <v>0</v>
      </c>
      <c r="W35" s="313">
        <f>SUMIFS(Adjustments!$G:$G,Adjustments!$H:$H,"2K",Adjustments!$I:$I,'Schedule 2K Adjustments'!$V$12,Adjustments!$J:$J,'Schedule 2K Adjustments'!$A35)</f>
        <v>0</v>
      </c>
      <c r="X35" s="309">
        <f t="shared" si="6"/>
        <v>0</v>
      </c>
      <c r="Y35" s="120">
        <f>'As-Filed Schedule 2K'!O35</f>
        <v>0</v>
      </c>
      <c r="Z35" s="313">
        <f>SUMIFS(Adjustments!$G:$G,Adjustments!$H:$H,"2K",Adjustments!$I:$I,'Schedule 2K Adjustments'!$Y$12,Adjustments!$J:$J,'Schedule 2K Adjustments'!$A35)</f>
        <v>0</v>
      </c>
      <c r="AA35" s="309">
        <f t="shared" si="7"/>
        <v>0</v>
      </c>
    </row>
    <row r="36" spans="1:27" x14ac:dyDescent="0.35">
      <c r="A36" s="24">
        <v>22</v>
      </c>
      <c r="B36" s="507" t="str">
        <f>IF('As-Filed Schedule 2K'!B36:D36=0,"",'As-Filed Schedule 2K'!B36:D36)</f>
        <v/>
      </c>
      <c r="C36" s="507"/>
      <c r="D36" s="507"/>
      <c r="F36" s="117">
        <f>'As-Filed Schedule 2K'!F36</f>
        <v>0</v>
      </c>
      <c r="G36" s="313">
        <f>SUMIFS(Adjustments!$G:$G,Adjustments!$H:$H,"2K",Adjustments!$I:$I,'Schedule 2K Adjustments'!$F$12,Adjustments!$J:$J,'Schedule 2K Adjustments'!$A36)</f>
        <v>0</v>
      </c>
      <c r="H36" s="309">
        <f t="shared" si="0"/>
        <v>0</v>
      </c>
      <c r="I36" s="68">
        <f>IFERROR(F36*'As-Filed Schedule 1'!$E$103,0)</f>
        <v>0</v>
      </c>
      <c r="J36" s="310">
        <f>IFERROR(H36*'Adjusted Schedule 1'!$E$104,0)</f>
        <v>0</v>
      </c>
      <c r="K36" s="68">
        <f t="shared" si="1"/>
        <v>0</v>
      </c>
      <c r="L36" s="310">
        <f t="shared" si="2"/>
        <v>0</v>
      </c>
      <c r="N36" s="117">
        <f>'As-Filed Schedule 2K'!J36</f>
        <v>0</v>
      </c>
      <c r="O36" s="313">
        <f>SUMIFS(Adjustments!$G:$G,Adjustments!$H:$H,"2K",Adjustments!$I:$I,'Schedule 2K Adjustments'!$N$12,Adjustments!$J:$J,'Schedule 2K Adjustments'!$A36)</f>
        <v>0</v>
      </c>
      <c r="P36" s="309">
        <f t="shared" si="3"/>
        <v>0</v>
      </c>
      <c r="Q36" s="68">
        <f>IFERROR(N36*'As-Filed Schedule 1'!$E$103,0)</f>
        <v>0</v>
      </c>
      <c r="R36" s="68">
        <f>IFERROR(P36*'Adjusted Schedule 1'!$E$104,0)</f>
        <v>0</v>
      </c>
      <c r="S36" s="68">
        <f t="shared" si="4"/>
        <v>0</v>
      </c>
      <c r="T36" s="310">
        <f t="shared" si="5"/>
        <v>0</v>
      </c>
      <c r="V36" s="120">
        <f>'As-Filed Schedule 2K'!N36</f>
        <v>0</v>
      </c>
      <c r="W36" s="313">
        <f>SUMIFS(Adjustments!$G:$G,Adjustments!$H:$H,"2K",Adjustments!$I:$I,'Schedule 2K Adjustments'!$V$12,Adjustments!$J:$J,'Schedule 2K Adjustments'!$A36)</f>
        <v>0</v>
      </c>
      <c r="X36" s="309">
        <f t="shared" si="6"/>
        <v>0</v>
      </c>
      <c r="Y36" s="120">
        <f>'As-Filed Schedule 2K'!O36</f>
        <v>0</v>
      </c>
      <c r="Z36" s="313">
        <f>SUMIFS(Adjustments!$G:$G,Adjustments!$H:$H,"2K",Adjustments!$I:$I,'Schedule 2K Adjustments'!$Y$12,Adjustments!$J:$J,'Schedule 2K Adjustments'!$A36)</f>
        <v>0</v>
      </c>
      <c r="AA36" s="309">
        <f t="shared" si="7"/>
        <v>0</v>
      </c>
    </row>
    <row r="37" spans="1:27" x14ac:dyDescent="0.35">
      <c r="A37" s="24">
        <v>23</v>
      </c>
      <c r="B37" s="507" t="str">
        <f>IF('As-Filed Schedule 2K'!B37:D37=0,"",'As-Filed Schedule 2K'!B37:D37)</f>
        <v/>
      </c>
      <c r="C37" s="507"/>
      <c r="D37" s="507"/>
      <c r="F37" s="117">
        <f>'As-Filed Schedule 2K'!F37</f>
        <v>0</v>
      </c>
      <c r="G37" s="313">
        <f>SUMIFS(Adjustments!$G:$G,Adjustments!$H:$H,"2K",Adjustments!$I:$I,'Schedule 2K Adjustments'!$F$12,Adjustments!$J:$J,'Schedule 2K Adjustments'!$A37)</f>
        <v>0</v>
      </c>
      <c r="H37" s="309">
        <f t="shared" si="0"/>
        <v>0</v>
      </c>
      <c r="I37" s="68">
        <f>IFERROR(F37*'As-Filed Schedule 1'!$E$103,0)</f>
        <v>0</v>
      </c>
      <c r="J37" s="310">
        <f>IFERROR(H37*'Adjusted Schedule 1'!$E$104,0)</f>
        <v>0</v>
      </c>
      <c r="K37" s="68">
        <f t="shared" si="1"/>
        <v>0</v>
      </c>
      <c r="L37" s="310">
        <f t="shared" si="2"/>
        <v>0</v>
      </c>
      <c r="N37" s="117">
        <f>'As-Filed Schedule 2K'!J37</f>
        <v>0</v>
      </c>
      <c r="O37" s="313">
        <f>SUMIFS(Adjustments!$G:$G,Adjustments!$H:$H,"2K",Adjustments!$I:$I,'Schedule 2K Adjustments'!$N$12,Adjustments!$J:$J,'Schedule 2K Adjustments'!$A37)</f>
        <v>0</v>
      </c>
      <c r="P37" s="309">
        <f t="shared" si="3"/>
        <v>0</v>
      </c>
      <c r="Q37" s="68">
        <f>IFERROR(N37*'As-Filed Schedule 1'!$E$103,0)</f>
        <v>0</v>
      </c>
      <c r="R37" s="68">
        <f>IFERROR(P37*'Adjusted Schedule 1'!$E$104,0)</f>
        <v>0</v>
      </c>
      <c r="S37" s="68">
        <f t="shared" si="4"/>
        <v>0</v>
      </c>
      <c r="T37" s="310">
        <f t="shared" si="5"/>
        <v>0</v>
      </c>
      <c r="V37" s="120">
        <f>'As-Filed Schedule 2K'!N37</f>
        <v>0</v>
      </c>
      <c r="W37" s="313">
        <f>SUMIFS(Adjustments!$G:$G,Adjustments!$H:$H,"2K",Adjustments!$I:$I,'Schedule 2K Adjustments'!$V$12,Adjustments!$J:$J,'Schedule 2K Adjustments'!$A37)</f>
        <v>0</v>
      </c>
      <c r="X37" s="309">
        <f t="shared" si="6"/>
        <v>0</v>
      </c>
      <c r="Y37" s="120">
        <f>'As-Filed Schedule 2K'!O37</f>
        <v>0</v>
      </c>
      <c r="Z37" s="313">
        <f>SUMIFS(Adjustments!$G:$G,Adjustments!$H:$H,"2K",Adjustments!$I:$I,'Schedule 2K Adjustments'!$Y$12,Adjustments!$J:$J,'Schedule 2K Adjustments'!$A37)</f>
        <v>0</v>
      </c>
      <c r="AA37" s="309">
        <f t="shared" si="7"/>
        <v>0</v>
      </c>
    </row>
    <row r="38" spans="1:27" x14ac:dyDescent="0.35">
      <c r="A38" s="24">
        <v>24</v>
      </c>
      <c r="B38" s="507" t="str">
        <f>IF('As-Filed Schedule 2K'!B38:D38=0,"",'As-Filed Schedule 2K'!B38:D38)</f>
        <v/>
      </c>
      <c r="C38" s="507"/>
      <c r="D38" s="507"/>
      <c r="F38" s="117">
        <f>'As-Filed Schedule 2K'!F38</f>
        <v>0</v>
      </c>
      <c r="G38" s="313">
        <f>SUMIFS(Adjustments!$G:$G,Adjustments!$H:$H,"2K",Adjustments!$I:$I,'Schedule 2K Adjustments'!$F$12,Adjustments!$J:$J,'Schedule 2K Adjustments'!$A38)</f>
        <v>0</v>
      </c>
      <c r="H38" s="309">
        <f t="shared" si="0"/>
        <v>0</v>
      </c>
      <c r="I38" s="68">
        <f>IFERROR(F38*'As-Filed Schedule 1'!$E$103,0)</f>
        <v>0</v>
      </c>
      <c r="J38" s="310">
        <f>IFERROR(H38*'Adjusted Schedule 1'!$E$104,0)</f>
        <v>0</v>
      </c>
      <c r="K38" s="68">
        <f t="shared" si="1"/>
        <v>0</v>
      </c>
      <c r="L38" s="310">
        <f t="shared" si="2"/>
        <v>0</v>
      </c>
      <c r="N38" s="117">
        <f>'As-Filed Schedule 2K'!J38</f>
        <v>0</v>
      </c>
      <c r="O38" s="313">
        <f>SUMIFS(Adjustments!$G:$G,Adjustments!$H:$H,"2K",Adjustments!$I:$I,'Schedule 2K Adjustments'!$N$12,Adjustments!$J:$J,'Schedule 2K Adjustments'!$A38)</f>
        <v>0</v>
      </c>
      <c r="P38" s="309">
        <f t="shared" si="3"/>
        <v>0</v>
      </c>
      <c r="Q38" s="68">
        <f>IFERROR(N38*'As-Filed Schedule 1'!$E$103,0)</f>
        <v>0</v>
      </c>
      <c r="R38" s="68">
        <f>IFERROR(P38*'Adjusted Schedule 1'!$E$104,0)</f>
        <v>0</v>
      </c>
      <c r="S38" s="68">
        <f t="shared" si="4"/>
        <v>0</v>
      </c>
      <c r="T38" s="310">
        <f t="shared" si="5"/>
        <v>0</v>
      </c>
      <c r="V38" s="120">
        <f>'As-Filed Schedule 2K'!N38</f>
        <v>0</v>
      </c>
      <c r="W38" s="313">
        <f>SUMIFS(Adjustments!$G:$G,Adjustments!$H:$H,"2K",Adjustments!$I:$I,'Schedule 2K Adjustments'!$V$12,Adjustments!$J:$J,'Schedule 2K Adjustments'!$A38)</f>
        <v>0</v>
      </c>
      <c r="X38" s="309">
        <f t="shared" si="6"/>
        <v>0</v>
      </c>
      <c r="Y38" s="120">
        <f>'As-Filed Schedule 2K'!O38</f>
        <v>0</v>
      </c>
      <c r="Z38" s="313">
        <f>SUMIFS(Adjustments!$G:$G,Adjustments!$H:$H,"2K",Adjustments!$I:$I,'Schedule 2K Adjustments'!$Y$12,Adjustments!$J:$J,'Schedule 2K Adjustments'!$A38)</f>
        <v>0</v>
      </c>
      <c r="AA38" s="309">
        <f t="shared" si="7"/>
        <v>0</v>
      </c>
    </row>
    <row r="39" spans="1:27" x14ac:dyDescent="0.35">
      <c r="A39" s="24">
        <v>25</v>
      </c>
      <c r="B39" s="507" t="str">
        <f>IF('As-Filed Schedule 2K'!B39:D39=0,"",'As-Filed Schedule 2K'!B39:D39)</f>
        <v/>
      </c>
      <c r="C39" s="507"/>
      <c r="D39" s="507"/>
      <c r="F39" s="117">
        <f>'As-Filed Schedule 2K'!F39</f>
        <v>0</v>
      </c>
      <c r="G39" s="313">
        <f>SUMIFS(Adjustments!$G:$G,Adjustments!$H:$H,"2K",Adjustments!$I:$I,'Schedule 2K Adjustments'!$F$12,Adjustments!$J:$J,'Schedule 2K Adjustments'!$A39)</f>
        <v>0</v>
      </c>
      <c r="H39" s="309">
        <f t="shared" si="0"/>
        <v>0</v>
      </c>
      <c r="I39" s="68">
        <f>IFERROR(F39*'As-Filed Schedule 1'!$E$103,0)</f>
        <v>0</v>
      </c>
      <c r="J39" s="310">
        <f>IFERROR(H39*'Adjusted Schedule 1'!$E$104,0)</f>
        <v>0</v>
      </c>
      <c r="K39" s="68">
        <f t="shared" si="1"/>
        <v>0</v>
      </c>
      <c r="L39" s="310">
        <f t="shared" si="2"/>
        <v>0</v>
      </c>
      <c r="N39" s="117">
        <f>'As-Filed Schedule 2K'!J39</f>
        <v>0</v>
      </c>
      <c r="O39" s="313">
        <f>SUMIFS(Adjustments!$G:$G,Adjustments!$H:$H,"2K",Adjustments!$I:$I,'Schedule 2K Adjustments'!$N$12,Adjustments!$J:$J,'Schedule 2K Adjustments'!$A39)</f>
        <v>0</v>
      </c>
      <c r="P39" s="309">
        <f t="shared" si="3"/>
        <v>0</v>
      </c>
      <c r="Q39" s="68">
        <f>IFERROR(N39*'As-Filed Schedule 1'!$E$103,0)</f>
        <v>0</v>
      </c>
      <c r="R39" s="68">
        <f>IFERROR(P39*'Adjusted Schedule 1'!$E$104,0)</f>
        <v>0</v>
      </c>
      <c r="S39" s="68">
        <f t="shared" si="4"/>
        <v>0</v>
      </c>
      <c r="T39" s="310">
        <f t="shared" si="5"/>
        <v>0</v>
      </c>
      <c r="V39" s="120">
        <f>'As-Filed Schedule 2K'!N39</f>
        <v>0</v>
      </c>
      <c r="W39" s="313">
        <f>SUMIFS(Adjustments!$G:$G,Adjustments!$H:$H,"2K",Adjustments!$I:$I,'Schedule 2K Adjustments'!$V$12,Adjustments!$J:$J,'Schedule 2K Adjustments'!$A39)</f>
        <v>0</v>
      </c>
      <c r="X39" s="309">
        <f t="shared" si="6"/>
        <v>0</v>
      </c>
      <c r="Y39" s="120">
        <f>'As-Filed Schedule 2K'!O39</f>
        <v>0</v>
      </c>
      <c r="Z39" s="313">
        <f>SUMIFS(Adjustments!$G:$G,Adjustments!$H:$H,"2K",Adjustments!$I:$I,'Schedule 2K Adjustments'!$Y$12,Adjustments!$J:$J,'Schedule 2K Adjustments'!$A39)</f>
        <v>0</v>
      </c>
      <c r="AA39" s="309">
        <f t="shared" si="7"/>
        <v>0</v>
      </c>
    </row>
    <row r="40" spans="1:27" x14ac:dyDescent="0.35">
      <c r="A40" s="24">
        <v>26</v>
      </c>
      <c r="B40" s="507" t="str">
        <f>IF('As-Filed Schedule 2K'!B40:D40=0,"",'As-Filed Schedule 2K'!B40:D40)</f>
        <v/>
      </c>
      <c r="C40" s="507"/>
      <c r="D40" s="507"/>
      <c r="F40" s="117">
        <f>'As-Filed Schedule 2K'!F40</f>
        <v>0</v>
      </c>
      <c r="G40" s="313">
        <f>SUMIFS(Adjustments!$G:$G,Adjustments!$H:$H,"2K",Adjustments!$I:$I,'Schedule 2K Adjustments'!$F$12,Adjustments!$J:$J,'Schedule 2K Adjustments'!$A40)</f>
        <v>0</v>
      </c>
      <c r="H40" s="309">
        <f t="shared" si="0"/>
        <v>0</v>
      </c>
      <c r="I40" s="68">
        <f>IFERROR(F40*'As-Filed Schedule 1'!$E$103,0)</f>
        <v>0</v>
      </c>
      <c r="J40" s="310">
        <f>IFERROR(H40*'Adjusted Schedule 1'!$E$104,0)</f>
        <v>0</v>
      </c>
      <c r="K40" s="68">
        <f t="shared" si="1"/>
        <v>0</v>
      </c>
      <c r="L40" s="310">
        <f t="shared" si="2"/>
        <v>0</v>
      </c>
      <c r="N40" s="117">
        <f>'As-Filed Schedule 2K'!J40</f>
        <v>0</v>
      </c>
      <c r="O40" s="313">
        <f>SUMIFS(Adjustments!$G:$G,Adjustments!$H:$H,"2K",Adjustments!$I:$I,'Schedule 2K Adjustments'!$N$12,Adjustments!$J:$J,'Schedule 2K Adjustments'!$A40)</f>
        <v>0</v>
      </c>
      <c r="P40" s="309">
        <f t="shared" si="3"/>
        <v>0</v>
      </c>
      <c r="Q40" s="68">
        <f>IFERROR(N40*'As-Filed Schedule 1'!$E$103,0)</f>
        <v>0</v>
      </c>
      <c r="R40" s="68">
        <f>IFERROR(P40*'Adjusted Schedule 1'!$E$104,0)</f>
        <v>0</v>
      </c>
      <c r="S40" s="68">
        <f t="shared" si="4"/>
        <v>0</v>
      </c>
      <c r="T40" s="310">
        <f t="shared" si="5"/>
        <v>0</v>
      </c>
      <c r="V40" s="120">
        <f>'As-Filed Schedule 2K'!N40</f>
        <v>0</v>
      </c>
      <c r="W40" s="313">
        <f>SUMIFS(Adjustments!$G:$G,Adjustments!$H:$H,"2K",Adjustments!$I:$I,'Schedule 2K Adjustments'!$V$12,Adjustments!$J:$J,'Schedule 2K Adjustments'!$A40)</f>
        <v>0</v>
      </c>
      <c r="X40" s="309">
        <f t="shared" si="6"/>
        <v>0</v>
      </c>
      <c r="Y40" s="120">
        <f>'As-Filed Schedule 2K'!O40</f>
        <v>0</v>
      </c>
      <c r="Z40" s="313">
        <f>SUMIFS(Adjustments!$G:$G,Adjustments!$H:$H,"2K",Adjustments!$I:$I,'Schedule 2K Adjustments'!$Y$12,Adjustments!$J:$J,'Schedule 2K Adjustments'!$A40)</f>
        <v>0</v>
      </c>
      <c r="AA40" s="309">
        <f t="shared" si="7"/>
        <v>0</v>
      </c>
    </row>
    <row r="41" spans="1:27" x14ac:dyDescent="0.35">
      <c r="A41" s="24">
        <v>27</v>
      </c>
      <c r="B41" s="507" t="str">
        <f>IF('As-Filed Schedule 2K'!B41:D41=0,"",'As-Filed Schedule 2K'!B41:D41)</f>
        <v/>
      </c>
      <c r="C41" s="507"/>
      <c r="D41" s="507"/>
      <c r="F41" s="117">
        <f>'As-Filed Schedule 2K'!F41</f>
        <v>0</v>
      </c>
      <c r="G41" s="313">
        <f>SUMIFS(Adjustments!$G:$G,Adjustments!$H:$H,"2K",Adjustments!$I:$I,'Schedule 2K Adjustments'!$F$12,Adjustments!$J:$J,'Schedule 2K Adjustments'!$A41)</f>
        <v>0</v>
      </c>
      <c r="H41" s="309">
        <f t="shared" si="0"/>
        <v>0</v>
      </c>
      <c r="I41" s="68">
        <f>IFERROR(F41*'As-Filed Schedule 1'!$E$103,0)</f>
        <v>0</v>
      </c>
      <c r="J41" s="310">
        <f>IFERROR(H41*'Adjusted Schedule 1'!$E$104,0)</f>
        <v>0</v>
      </c>
      <c r="K41" s="68">
        <f t="shared" si="1"/>
        <v>0</v>
      </c>
      <c r="L41" s="310">
        <f t="shared" si="2"/>
        <v>0</v>
      </c>
      <c r="N41" s="117">
        <f>'As-Filed Schedule 2K'!J41</f>
        <v>0</v>
      </c>
      <c r="O41" s="313">
        <f>SUMIFS(Adjustments!$G:$G,Adjustments!$H:$H,"2K",Adjustments!$I:$I,'Schedule 2K Adjustments'!$N$12,Adjustments!$J:$J,'Schedule 2K Adjustments'!$A41)</f>
        <v>0</v>
      </c>
      <c r="P41" s="309">
        <f t="shared" si="3"/>
        <v>0</v>
      </c>
      <c r="Q41" s="68">
        <f>IFERROR(N41*'As-Filed Schedule 1'!$E$103,0)</f>
        <v>0</v>
      </c>
      <c r="R41" s="68">
        <f>IFERROR(P41*'Adjusted Schedule 1'!$E$104,0)</f>
        <v>0</v>
      </c>
      <c r="S41" s="68">
        <f t="shared" si="4"/>
        <v>0</v>
      </c>
      <c r="T41" s="310">
        <f t="shared" si="5"/>
        <v>0</v>
      </c>
      <c r="V41" s="120">
        <f>'As-Filed Schedule 2K'!N41</f>
        <v>0</v>
      </c>
      <c r="W41" s="313">
        <f>SUMIFS(Adjustments!$G:$G,Adjustments!$H:$H,"2K",Adjustments!$I:$I,'Schedule 2K Adjustments'!$V$12,Adjustments!$J:$J,'Schedule 2K Adjustments'!$A41)</f>
        <v>0</v>
      </c>
      <c r="X41" s="309">
        <f t="shared" si="6"/>
        <v>0</v>
      </c>
      <c r="Y41" s="120">
        <f>'As-Filed Schedule 2K'!O41</f>
        <v>0</v>
      </c>
      <c r="Z41" s="313">
        <f>SUMIFS(Adjustments!$G:$G,Adjustments!$H:$H,"2K",Adjustments!$I:$I,'Schedule 2K Adjustments'!$Y$12,Adjustments!$J:$J,'Schedule 2K Adjustments'!$A41)</f>
        <v>0</v>
      </c>
      <c r="AA41" s="309">
        <f t="shared" si="7"/>
        <v>0</v>
      </c>
    </row>
    <row r="42" spans="1:27" x14ac:dyDescent="0.35">
      <c r="A42" s="24">
        <v>28</v>
      </c>
      <c r="B42" s="507" t="str">
        <f>IF('As-Filed Schedule 2K'!B42:D42=0,"",'As-Filed Schedule 2K'!B42:D42)</f>
        <v/>
      </c>
      <c r="C42" s="507"/>
      <c r="D42" s="507"/>
      <c r="F42" s="117">
        <f>'As-Filed Schedule 2K'!F42</f>
        <v>0</v>
      </c>
      <c r="G42" s="313">
        <f>SUMIFS(Adjustments!$G:$G,Adjustments!$H:$H,"2K",Adjustments!$I:$I,'Schedule 2K Adjustments'!$F$12,Adjustments!$J:$J,'Schedule 2K Adjustments'!$A42)</f>
        <v>0</v>
      </c>
      <c r="H42" s="309">
        <f t="shared" si="0"/>
        <v>0</v>
      </c>
      <c r="I42" s="68">
        <f>IFERROR(F42*'As-Filed Schedule 1'!$E$103,0)</f>
        <v>0</v>
      </c>
      <c r="J42" s="310">
        <f>IFERROR(H42*'Adjusted Schedule 1'!$E$104,0)</f>
        <v>0</v>
      </c>
      <c r="K42" s="68">
        <f t="shared" si="1"/>
        <v>0</v>
      </c>
      <c r="L42" s="310">
        <f t="shared" si="2"/>
        <v>0</v>
      </c>
      <c r="N42" s="117">
        <f>'As-Filed Schedule 2K'!J42</f>
        <v>0</v>
      </c>
      <c r="O42" s="313">
        <f>SUMIFS(Adjustments!$G:$G,Adjustments!$H:$H,"2K",Adjustments!$I:$I,'Schedule 2K Adjustments'!$N$12,Adjustments!$J:$J,'Schedule 2K Adjustments'!$A42)</f>
        <v>0</v>
      </c>
      <c r="P42" s="309">
        <f t="shared" si="3"/>
        <v>0</v>
      </c>
      <c r="Q42" s="68">
        <f>IFERROR(N42*'As-Filed Schedule 1'!$E$103,0)</f>
        <v>0</v>
      </c>
      <c r="R42" s="68">
        <f>IFERROR(P42*'Adjusted Schedule 1'!$E$104,0)</f>
        <v>0</v>
      </c>
      <c r="S42" s="68">
        <f t="shared" si="4"/>
        <v>0</v>
      </c>
      <c r="T42" s="310">
        <f t="shared" si="5"/>
        <v>0</v>
      </c>
      <c r="V42" s="120">
        <f>'As-Filed Schedule 2K'!N42</f>
        <v>0</v>
      </c>
      <c r="W42" s="313">
        <f>SUMIFS(Adjustments!$G:$G,Adjustments!$H:$H,"2K",Adjustments!$I:$I,'Schedule 2K Adjustments'!$V$12,Adjustments!$J:$J,'Schedule 2K Adjustments'!$A42)</f>
        <v>0</v>
      </c>
      <c r="X42" s="309">
        <f t="shared" si="6"/>
        <v>0</v>
      </c>
      <c r="Y42" s="120">
        <f>'As-Filed Schedule 2K'!O42</f>
        <v>0</v>
      </c>
      <c r="Z42" s="313">
        <f>SUMIFS(Adjustments!$G:$G,Adjustments!$H:$H,"2K",Adjustments!$I:$I,'Schedule 2K Adjustments'!$Y$12,Adjustments!$J:$J,'Schedule 2K Adjustments'!$A42)</f>
        <v>0</v>
      </c>
      <c r="AA42" s="309">
        <f t="shared" si="7"/>
        <v>0</v>
      </c>
    </row>
    <row r="43" spans="1:27" x14ac:dyDescent="0.35">
      <c r="A43" s="24">
        <v>29</v>
      </c>
      <c r="B43" s="507" t="str">
        <f>IF('As-Filed Schedule 2K'!B43:D43=0,"",'As-Filed Schedule 2K'!B43:D43)</f>
        <v/>
      </c>
      <c r="C43" s="507"/>
      <c r="D43" s="507"/>
      <c r="F43" s="117">
        <f>'As-Filed Schedule 2K'!F43</f>
        <v>0</v>
      </c>
      <c r="G43" s="313">
        <f>SUMIFS(Adjustments!$G:$G,Adjustments!$H:$H,"2K",Adjustments!$I:$I,'Schedule 2K Adjustments'!$F$12,Adjustments!$J:$J,'Schedule 2K Adjustments'!$A43)</f>
        <v>0</v>
      </c>
      <c r="H43" s="309">
        <f t="shared" si="0"/>
        <v>0</v>
      </c>
      <c r="I43" s="68">
        <f>IFERROR(F43*'As-Filed Schedule 1'!$E$103,0)</f>
        <v>0</v>
      </c>
      <c r="J43" s="310">
        <f>IFERROR(H43*'Adjusted Schedule 1'!$E$104,0)</f>
        <v>0</v>
      </c>
      <c r="K43" s="68">
        <f t="shared" si="1"/>
        <v>0</v>
      </c>
      <c r="L43" s="310">
        <f t="shared" si="2"/>
        <v>0</v>
      </c>
      <c r="N43" s="117">
        <f>'As-Filed Schedule 2K'!J43</f>
        <v>0</v>
      </c>
      <c r="O43" s="313">
        <f>SUMIFS(Adjustments!$G:$G,Adjustments!$H:$H,"2K",Adjustments!$I:$I,'Schedule 2K Adjustments'!$N$12,Adjustments!$J:$J,'Schedule 2K Adjustments'!$A43)</f>
        <v>0</v>
      </c>
      <c r="P43" s="309">
        <f t="shared" si="3"/>
        <v>0</v>
      </c>
      <c r="Q43" s="68">
        <f>IFERROR(N43*'As-Filed Schedule 1'!$E$103,0)</f>
        <v>0</v>
      </c>
      <c r="R43" s="68">
        <f>IFERROR(P43*'Adjusted Schedule 1'!$E$104,0)</f>
        <v>0</v>
      </c>
      <c r="S43" s="68">
        <f t="shared" si="4"/>
        <v>0</v>
      </c>
      <c r="T43" s="310">
        <f t="shared" si="5"/>
        <v>0</v>
      </c>
      <c r="V43" s="120">
        <f>'As-Filed Schedule 2K'!N43</f>
        <v>0</v>
      </c>
      <c r="W43" s="313">
        <f>SUMIFS(Adjustments!$G:$G,Adjustments!$H:$H,"2K",Adjustments!$I:$I,'Schedule 2K Adjustments'!$V$12,Adjustments!$J:$J,'Schedule 2K Adjustments'!$A43)</f>
        <v>0</v>
      </c>
      <c r="X43" s="309">
        <f t="shared" si="6"/>
        <v>0</v>
      </c>
      <c r="Y43" s="120">
        <f>'As-Filed Schedule 2K'!O43</f>
        <v>0</v>
      </c>
      <c r="Z43" s="313">
        <f>SUMIFS(Adjustments!$G:$G,Adjustments!$H:$H,"2K",Adjustments!$I:$I,'Schedule 2K Adjustments'!$Y$12,Adjustments!$J:$J,'Schedule 2K Adjustments'!$A43)</f>
        <v>0</v>
      </c>
      <c r="AA43" s="309">
        <f t="shared" si="7"/>
        <v>0</v>
      </c>
    </row>
    <row r="44" spans="1:27" x14ac:dyDescent="0.35">
      <c r="A44" s="24">
        <v>30</v>
      </c>
      <c r="B44" s="507" t="str">
        <f>IF('As-Filed Schedule 2K'!B44:D44=0,"",'As-Filed Schedule 2K'!B44:D44)</f>
        <v/>
      </c>
      <c r="C44" s="507"/>
      <c r="D44" s="507"/>
      <c r="F44" s="117">
        <f>'As-Filed Schedule 2K'!F44</f>
        <v>0</v>
      </c>
      <c r="G44" s="313">
        <f>SUMIFS(Adjustments!$G:$G,Adjustments!$H:$H,"2K",Adjustments!$I:$I,'Schedule 2K Adjustments'!$F$12,Adjustments!$J:$J,'Schedule 2K Adjustments'!$A44)</f>
        <v>0</v>
      </c>
      <c r="H44" s="309">
        <f t="shared" si="0"/>
        <v>0</v>
      </c>
      <c r="I44" s="68">
        <f>IFERROR(F44*'As-Filed Schedule 1'!$E$103,0)</f>
        <v>0</v>
      </c>
      <c r="J44" s="310">
        <f>IFERROR(H44*'Adjusted Schedule 1'!$E$104,0)</f>
        <v>0</v>
      </c>
      <c r="K44" s="68">
        <f t="shared" si="1"/>
        <v>0</v>
      </c>
      <c r="L44" s="310">
        <f t="shared" si="2"/>
        <v>0</v>
      </c>
      <c r="N44" s="117">
        <f>'As-Filed Schedule 2K'!J44</f>
        <v>0</v>
      </c>
      <c r="O44" s="313">
        <f>SUMIFS(Adjustments!$G:$G,Adjustments!$H:$H,"2K",Adjustments!$I:$I,'Schedule 2K Adjustments'!$N$12,Adjustments!$J:$J,'Schedule 2K Adjustments'!$A44)</f>
        <v>0</v>
      </c>
      <c r="P44" s="309">
        <f t="shared" si="3"/>
        <v>0</v>
      </c>
      <c r="Q44" s="68">
        <f>IFERROR(N44*'As-Filed Schedule 1'!$E$103,0)</f>
        <v>0</v>
      </c>
      <c r="R44" s="68">
        <f>IFERROR(P44*'Adjusted Schedule 1'!$E$104,0)</f>
        <v>0</v>
      </c>
      <c r="S44" s="68">
        <f t="shared" si="4"/>
        <v>0</v>
      </c>
      <c r="T44" s="310">
        <f t="shared" si="5"/>
        <v>0</v>
      </c>
      <c r="V44" s="120">
        <f>'As-Filed Schedule 2K'!N44</f>
        <v>0</v>
      </c>
      <c r="W44" s="313">
        <f>SUMIFS(Adjustments!$G:$G,Adjustments!$H:$H,"2K",Adjustments!$I:$I,'Schedule 2K Adjustments'!$V$12,Adjustments!$J:$J,'Schedule 2K Adjustments'!$A44)</f>
        <v>0</v>
      </c>
      <c r="X44" s="309">
        <f t="shared" si="6"/>
        <v>0</v>
      </c>
      <c r="Y44" s="120">
        <f>'As-Filed Schedule 2K'!O44</f>
        <v>0</v>
      </c>
      <c r="Z44" s="313">
        <f>SUMIFS(Adjustments!$G:$G,Adjustments!$H:$H,"2K",Adjustments!$I:$I,'Schedule 2K Adjustments'!$Y$12,Adjustments!$J:$J,'Schedule 2K Adjustments'!$A44)</f>
        <v>0</v>
      </c>
      <c r="AA44" s="309">
        <f t="shared" si="7"/>
        <v>0</v>
      </c>
    </row>
    <row r="45" spans="1:27" x14ac:dyDescent="0.35">
      <c r="A45" s="24">
        <v>31</v>
      </c>
      <c r="B45" s="507" t="str">
        <f>IF('As-Filed Schedule 2K'!B45:D45=0,"",'As-Filed Schedule 2K'!B45:D45)</f>
        <v/>
      </c>
      <c r="C45" s="507"/>
      <c r="D45" s="507"/>
      <c r="F45" s="117">
        <f>'As-Filed Schedule 2K'!F45</f>
        <v>0</v>
      </c>
      <c r="G45" s="313">
        <f>SUMIFS(Adjustments!$G:$G,Adjustments!$H:$H,"2K",Adjustments!$I:$I,'Schedule 2K Adjustments'!$F$12,Adjustments!$J:$J,'Schedule 2K Adjustments'!$A45)</f>
        <v>0</v>
      </c>
      <c r="H45" s="309">
        <f t="shared" si="0"/>
        <v>0</v>
      </c>
      <c r="I45" s="68">
        <f>IFERROR(F45*'As-Filed Schedule 1'!$E$103,0)</f>
        <v>0</v>
      </c>
      <c r="J45" s="310">
        <f>IFERROR(H45*'Adjusted Schedule 1'!$E$104,0)</f>
        <v>0</v>
      </c>
      <c r="K45" s="68">
        <f t="shared" si="1"/>
        <v>0</v>
      </c>
      <c r="L45" s="310">
        <f t="shared" si="2"/>
        <v>0</v>
      </c>
      <c r="N45" s="117">
        <f>'As-Filed Schedule 2K'!J45</f>
        <v>0</v>
      </c>
      <c r="O45" s="313">
        <f>SUMIFS(Adjustments!$G:$G,Adjustments!$H:$H,"2K",Adjustments!$I:$I,'Schedule 2K Adjustments'!$N$12,Adjustments!$J:$J,'Schedule 2K Adjustments'!$A45)</f>
        <v>0</v>
      </c>
      <c r="P45" s="309">
        <f t="shared" si="3"/>
        <v>0</v>
      </c>
      <c r="Q45" s="68">
        <f>IFERROR(N45*'As-Filed Schedule 1'!$E$103,0)</f>
        <v>0</v>
      </c>
      <c r="R45" s="68">
        <f>IFERROR(P45*'Adjusted Schedule 1'!$E$104,0)</f>
        <v>0</v>
      </c>
      <c r="S45" s="68">
        <f t="shared" si="4"/>
        <v>0</v>
      </c>
      <c r="T45" s="310">
        <f t="shared" si="5"/>
        <v>0</v>
      </c>
      <c r="V45" s="120">
        <f>'As-Filed Schedule 2K'!N45</f>
        <v>0</v>
      </c>
      <c r="W45" s="313">
        <f>SUMIFS(Adjustments!$G:$G,Adjustments!$H:$H,"2K",Adjustments!$I:$I,'Schedule 2K Adjustments'!$V$12,Adjustments!$J:$J,'Schedule 2K Adjustments'!$A45)</f>
        <v>0</v>
      </c>
      <c r="X45" s="309">
        <f t="shared" si="6"/>
        <v>0</v>
      </c>
      <c r="Y45" s="120">
        <f>'As-Filed Schedule 2K'!O45</f>
        <v>0</v>
      </c>
      <c r="Z45" s="313">
        <f>SUMIFS(Adjustments!$G:$G,Adjustments!$H:$H,"2K",Adjustments!$I:$I,'Schedule 2K Adjustments'!$Y$12,Adjustments!$J:$J,'Schedule 2K Adjustments'!$A45)</f>
        <v>0</v>
      </c>
      <c r="AA45" s="309">
        <f t="shared" si="7"/>
        <v>0</v>
      </c>
    </row>
    <row r="46" spans="1:27" x14ac:dyDescent="0.35">
      <c r="A46" s="24">
        <v>32</v>
      </c>
      <c r="B46" s="507" t="str">
        <f>IF('As-Filed Schedule 2K'!B46:D46=0,"",'As-Filed Schedule 2K'!B46:D46)</f>
        <v/>
      </c>
      <c r="C46" s="507"/>
      <c r="D46" s="507"/>
      <c r="F46" s="117">
        <f>'As-Filed Schedule 2K'!F46</f>
        <v>0</v>
      </c>
      <c r="G46" s="313">
        <f>SUMIFS(Adjustments!$G:$G,Adjustments!$H:$H,"2K",Adjustments!$I:$I,'Schedule 2K Adjustments'!$F$12,Adjustments!$J:$J,'Schedule 2K Adjustments'!$A46)</f>
        <v>0</v>
      </c>
      <c r="H46" s="309">
        <f t="shared" si="0"/>
        <v>0</v>
      </c>
      <c r="I46" s="68">
        <f>IFERROR(F46*'As-Filed Schedule 1'!$E$103,0)</f>
        <v>0</v>
      </c>
      <c r="J46" s="310">
        <f>IFERROR(H46*'Adjusted Schedule 1'!$E$104,0)</f>
        <v>0</v>
      </c>
      <c r="K46" s="68">
        <f t="shared" si="1"/>
        <v>0</v>
      </c>
      <c r="L46" s="310">
        <f t="shared" si="2"/>
        <v>0</v>
      </c>
      <c r="N46" s="117">
        <f>'As-Filed Schedule 2K'!J46</f>
        <v>0</v>
      </c>
      <c r="O46" s="313">
        <f>SUMIFS(Adjustments!$G:$G,Adjustments!$H:$H,"2K",Adjustments!$I:$I,'Schedule 2K Adjustments'!$N$12,Adjustments!$J:$J,'Schedule 2K Adjustments'!$A46)</f>
        <v>0</v>
      </c>
      <c r="P46" s="309">
        <f t="shared" si="3"/>
        <v>0</v>
      </c>
      <c r="Q46" s="68">
        <f>IFERROR(N46*'As-Filed Schedule 1'!$E$103,0)</f>
        <v>0</v>
      </c>
      <c r="R46" s="68">
        <f>IFERROR(P46*'Adjusted Schedule 1'!$E$104,0)</f>
        <v>0</v>
      </c>
      <c r="S46" s="68">
        <f t="shared" si="4"/>
        <v>0</v>
      </c>
      <c r="T46" s="310">
        <f t="shared" si="5"/>
        <v>0</v>
      </c>
      <c r="V46" s="120">
        <f>'As-Filed Schedule 2K'!N46</f>
        <v>0</v>
      </c>
      <c r="W46" s="313">
        <f>SUMIFS(Adjustments!$G:$G,Adjustments!$H:$H,"2K",Adjustments!$I:$I,'Schedule 2K Adjustments'!$V$12,Adjustments!$J:$J,'Schedule 2K Adjustments'!$A46)</f>
        <v>0</v>
      </c>
      <c r="X46" s="309">
        <f t="shared" si="6"/>
        <v>0</v>
      </c>
      <c r="Y46" s="120">
        <f>'As-Filed Schedule 2K'!O46</f>
        <v>0</v>
      </c>
      <c r="Z46" s="313">
        <f>SUMIFS(Adjustments!$G:$G,Adjustments!$H:$H,"2K",Adjustments!$I:$I,'Schedule 2K Adjustments'!$Y$12,Adjustments!$J:$J,'Schedule 2K Adjustments'!$A46)</f>
        <v>0</v>
      </c>
      <c r="AA46" s="309">
        <f t="shared" si="7"/>
        <v>0</v>
      </c>
    </row>
    <row r="47" spans="1:27" x14ac:dyDescent="0.35">
      <c r="A47" s="24">
        <v>33</v>
      </c>
      <c r="B47" s="507" t="str">
        <f>IF('As-Filed Schedule 2K'!B47:D47=0,"",'As-Filed Schedule 2K'!B47:D47)</f>
        <v/>
      </c>
      <c r="C47" s="507"/>
      <c r="D47" s="507"/>
      <c r="F47" s="117">
        <f>'As-Filed Schedule 2K'!F47</f>
        <v>0</v>
      </c>
      <c r="G47" s="313">
        <f>SUMIFS(Adjustments!$G:$G,Adjustments!$H:$H,"2K",Adjustments!$I:$I,'Schedule 2K Adjustments'!$F$12,Adjustments!$J:$J,'Schedule 2K Adjustments'!$A47)</f>
        <v>0</v>
      </c>
      <c r="H47" s="309">
        <f t="shared" si="0"/>
        <v>0</v>
      </c>
      <c r="I47" s="68">
        <f>IFERROR(F47*'As-Filed Schedule 1'!$E$103,0)</f>
        <v>0</v>
      </c>
      <c r="J47" s="310">
        <f>IFERROR(H47*'Adjusted Schedule 1'!$E$104,0)</f>
        <v>0</v>
      </c>
      <c r="K47" s="68">
        <f t="shared" si="1"/>
        <v>0</v>
      </c>
      <c r="L47" s="310">
        <f t="shared" si="2"/>
        <v>0</v>
      </c>
      <c r="N47" s="117">
        <f>'As-Filed Schedule 2K'!J47</f>
        <v>0</v>
      </c>
      <c r="O47" s="313">
        <f>SUMIFS(Adjustments!$G:$G,Adjustments!$H:$H,"2K",Adjustments!$I:$I,'Schedule 2K Adjustments'!$N$12,Adjustments!$J:$J,'Schedule 2K Adjustments'!$A47)</f>
        <v>0</v>
      </c>
      <c r="P47" s="309">
        <f t="shared" si="3"/>
        <v>0</v>
      </c>
      <c r="Q47" s="68">
        <f>IFERROR(N47*'As-Filed Schedule 1'!$E$103,0)</f>
        <v>0</v>
      </c>
      <c r="R47" s="68">
        <f>IFERROR(P47*'Adjusted Schedule 1'!$E$104,0)</f>
        <v>0</v>
      </c>
      <c r="S47" s="68">
        <f t="shared" si="4"/>
        <v>0</v>
      </c>
      <c r="T47" s="310">
        <f t="shared" si="5"/>
        <v>0</v>
      </c>
      <c r="V47" s="120">
        <f>'As-Filed Schedule 2K'!N47</f>
        <v>0</v>
      </c>
      <c r="W47" s="313">
        <f>SUMIFS(Adjustments!$G:$G,Adjustments!$H:$H,"2K",Adjustments!$I:$I,'Schedule 2K Adjustments'!$V$12,Adjustments!$J:$J,'Schedule 2K Adjustments'!$A47)</f>
        <v>0</v>
      </c>
      <c r="X47" s="309">
        <f t="shared" si="6"/>
        <v>0</v>
      </c>
      <c r="Y47" s="120">
        <f>'As-Filed Schedule 2K'!O47</f>
        <v>0</v>
      </c>
      <c r="Z47" s="313">
        <f>SUMIFS(Adjustments!$G:$G,Adjustments!$H:$H,"2K",Adjustments!$I:$I,'Schedule 2K Adjustments'!$Y$12,Adjustments!$J:$J,'Schedule 2K Adjustments'!$A47)</f>
        <v>0</v>
      </c>
      <c r="AA47" s="309">
        <f t="shared" si="7"/>
        <v>0</v>
      </c>
    </row>
    <row r="48" spans="1:27" x14ac:dyDescent="0.35">
      <c r="A48" s="24">
        <v>34</v>
      </c>
      <c r="B48" s="507" t="str">
        <f>IF('As-Filed Schedule 2K'!B48:D48=0,"",'As-Filed Schedule 2K'!B48:D48)</f>
        <v/>
      </c>
      <c r="C48" s="507"/>
      <c r="D48" s="507"/>
      <c r="F48" s="117">
        <f>'As-Filed Schedule 2K'!F48</f>
        <v>0</v>
      </c>
      <c r="G48" s="313">
        <f>SUMIFS(Adjustments!$G:$G,Adjustments!$H:$H,"2K",Adjustments!$I:$I,'Schedule 2K Adjustments'!$F$12,Adjustments!$J:$J,'Schedule 2K Adjustments'!$A48)</f>
        <v>0</v>
      </c>
      <c r="H48" s="309">
        <f t="shared" si="0"/>
        <v>0</v>
      </c>
      <c r="I48" s="68">
        <f>IFERROR(F48*'As-Filed Schedule 1'!$E$103,0)</f>
        <v>0</v>
      </c>
      <c r="J48" s="310">
        <f>IFERROR(H48*'Adjusted Schedule 1'!$E$104,0)</f>
        <v>0</v>
      </c>
      <c r="K48" s="68">
        <f t="shared" si="1"/>
        <v>0</v>
      </c>
      <c r="L48" s="310">
        <f t="shared" si="2"/>
        <v>0</v>
      </c>
      <c r="N48" s="117">
        <f>'As-Filed Schedule 2K'!J48</f>
        <v>0</v>
      </c>
      <c r="O48" s="313">
        <f>SUMIFS(Adjustments!$G:$G,Adjustments!$H:$H,"2K",Adjustments!$I:$I,'Schedule 2K Adjustments'!$N$12,Adjustments!$J:$J,'Schedule 2K Adjustments'!$A48)</f>
        <v>0</v>
      </c>
      <c r="P48" s="309">
        <f t="shared" si="3"/>
        <v>0</v>
      </c>
      <c r="Q48" s="68">
        <f>IFERROR(N48*'As-Filed Schedule 1'!$E$103,0)</f>
        <v>0</v>
      </c>
      <c r="R48" s="68">
        <f>IFERROR(P48*'Adjusted Schedule 1'!$E$104,0)</f>
        <v>0</v>
      </c>
      <c r="S48" s="68">
        <f t="shared" si="4"/>
        <v>0</v>
      </c>
      <c r="T48" s="310">
        <f t="shared" si="5"/>
        <v>0</v>
      </c>
      <c r="V48" s="120">
        <f>'As-Filed Schedule 2K'!N48</f>
        <v>0</v>
      </c>
      <c r="W48" s="313">
        <f>SUMIFS(Adjustments!$G:$G,Adjustments!$H:$H,"2K",Adjustments!$I:$I,'Schedule 2K Adjustments'!$V$12,Adjustments!$J:$J,'Schedule 2K Adjustments'!$A48)</f>
        <v>0</v>
      </c>
      <c r="X48" s="309">
        <f t="shared" si="6"/>
        <v>0</v>
      </c>
      <c r="Y48" s="120">
        <f>'As-Filed Schedule 2K'!O48</f>
        <v>0</v>
      </c>
      <c r="Z48" s="313">
        <f>SUMIFS(Adjustments!$G:$G,Adjustments!$H:$H,"2K",Adjustments!$I:$I,'Schedule 2K Adjustments'!$Y$12,Adjustments!$J:$J,'Schedule 2K Adjustments'!$A48)</f>
        <v>0</v>
      </c>
      <c r="AA48" s="309">
        <f t="shared" si="7"/>
        <v>0</v>
      </c>
    </row>
    <row r="49" spans="1:27" x14ac:dyDescent="0.35">
      <c r="A49" s="24">
        <v>35</v>
      </c>
      <c r="B49" s="507" t="str">
        <f>IF('As-Filed Schedule 2K'!B49:D49=0,"",'As-Filed Schedule 2K'!B49:D49)</f>
        <v/>
      </c>
      <c r="C49" s="507"/>
      <c r="D49" s="507"/>
      <c r="F49" s="117">
        <f>'As-Filed Schedule 2K'!F49</f>
        <v>0</v>
      </c>
      <c r="G49" s="313">
        <f>SUMIFS(Adjustments!$G:$G,Adjustments!$H:$H,"2K",Adjustments!$I:$I,'Schedule 2K Adjustments'!$F$12,Adjustments!$J:$J,'Schedule 2K Adjustments'!$A49)</f>
        <v>0</v>
      </c>
      <c r="H49" s="309">
        <f t="shared" si="0"/>
        <v>0</v>
      </c>
      <c r="I49" s="68">
        <f>IFERROR(F49*'As-Filed Schedule 1'!$E$103,0)</f>
        <v>0</v>
      </c>
      <c r="J49" s="310">
        <f>IFERROR(H49*'Adjusted Schedule 1'!$E$104,0)</f>
        <v>0</v>
      </c>
      <c r="K49" s="68">
        <f t="shared" si="1"/>
        <v>0</v>
      </c>
      <c r="L49" s="310">
        <f t="shared" si="2"/>
        <v>0</v>
      </c>
      <c r="N49" s="117">
        <f>'As-Filed Schedule 2K'!J49</f>
        <v>0</v>
      </c>
      <c r="O49" s="313">
        <f>SUMIFS(Adjustments!$G:$G,Adjustments!$H:$H,"2K",Adjustments!$I:$I,'Schedule 2K Adjustments'!$N$12,Adjustments!$J:$J,'Schedule 2K Adjustments'!$A49)</f>
        <v>0</v>
      </c>
      <c r="P49" s="309">
        <f t="shared" si="3"/>
        <v>0</v>
      </c>
      <c r="Q49" s="68">
        <f>IFERROR(N49*'As-Filed Schedule 1'!$E$103,0)</f>
        <v>0</v>
      </c>
      <c r="R49" s="68">
        <f>IFERROR(P49*'Adjusted Schedule 1'!$E$104,0)</f>
        <v>0</v>
      </c>
      <c r="S49" s="68">
        <f t="shared" si="4"/>
        <v>0</v>
      </c>
      <c r="T49" s="310">
        <f t="shared" si="5"/>
        <v>0</v>
      </c>
      <c r="V49" s="120">
        <f>'As-Filed Schedule 2K'!N49</f>
        <v>0</v>
      </c>
      <c r="W49" s="313">
        <f>SUMIFS(Adjustments!$G:$G,Adjustments!$H:$H,"2K",Adjustments!$I:$I,'Schedule 2K Adjustments'!$V$12,Adjustments!$J:$J,'Schedule 2K Adjustments'!$A49)</f>
        <v>0</v>
      </c>
      <c r="X49" s="309">
        <f t="shared" si="6"/>
        <v>0</v>
      </c>
      <c r="Y49" s="120">
        <f>'As-Filed Schedule 2K'!O49</f>
        <v>0</v>
      </c>
      <c r="Z49" s="313">
        <f>SUMIFS(Adjustments!$G:$G,Adjustments!$H:$H,"2K",Adjustments!$I:$I,'Schedule 2K Adjustments'!$Y$12,Adjustments!$J:$J,'Schedule 2K Adjustments'!$A49)</f>
        <v>0</v>
      </c>
      <c r="AA49" s="309">
        <f t="shared" si="7"/>
        <v>0</v>
      </c>
    </row>
    <row r="50" spans="1:27" x14ac:dyDescent="0.35">
      <c r="A50" s="24">
        <v>36</v>
      </c>
      <c r="B50" s="507" t="str">
        <f>IF('As-Filed Schedule 2K'!B50:D50=0,"",'As-Filed Schedule 2K'!B50:D50)</f>
        <v/>
      </c>
      <c r="C50" s="507"/>
      <c r="D50" s="507"/>
      <c r="F50" s="117">
        <f>'As-Filed Schedule 2K'!F50</f>
        <v>0</v>
      </c>
      <c r="G50" s="313">
        <f>SUMIFS(Adjustments!$G:$G,Adjustments!$H:$H,"2K",Adjustments!$I:$I,'Schedule 2K Adjustments'!$F$12,Adjustments!$J:$J,'Schedule 2K Adjustments'!$A50)</f>
        <v>0</v>
      </c>
      <c r="H50" s="309">
        <f t="shared" si="0"/>
        <v>0</v>
      </c>
      <c r="I50" s="68">
        <f>IFERROR(F50*'As-Filed Schedule 1'!$E$103,0)</f>
        <v>0</v>
      </c>
      <c r="J50" s="310">
        <f>IFERROR(H50*'Adjusted Schedule 1'!$E$104,0)</f>
        <v>0</v>
      </c>
      <c r="K50" s="68">
        <f t="shared" si="1"/>
        <v>0</v>
      </c>
      <c r="L50" s="310">
        <f t="shared" si="2"/>
        <v>0</v>
      </c>
      <c r="N50" s="117">
        <f>'As-Filed Schedule 2K'!J50</f>
        <v>0</v>
      </c>
      <c r="O50" s="313">
        <f>SUMIFS(Adjustments!$G:$G,Adjustments!$H:$H,"2K",Adjustments!$I:$I,'Schedule 2K Adjustments'!$N$12,Adjustments!$J:$J,'Schedule 2K Adjustments'!$A50)</f>
        <v>0</v>
      </c>
      <c r="P50" s="309">
        <f t="shared" si="3"/>
        <v>0</v>
      </c>
      <c r="Q50" s="68">
        <f>IFERROR(N50*'As-Filed Schedule 1'!$E$103,0)</f>
        <v>0</v>
      </c>
      <c r="R50" s="68">
        <f>IFERROR(P50*'Adjusted Schedule 1'!$E$104,0)</f>
        <v>0</v>
      </c>
      <c r="S50" s="68">
        <f t="shared" si="4"/>
        <v>0</v>
      </c>
      <c r="T50" s="310">
        <f t="shared" si="5"/>
        <v>0</v>
      </c>
      <c r="V50" s="120">
        <f>'As-Filed Schedule 2K'!N50</f>
        <v>0</v>
      </c>
      <c r="W50" s="313">
        <f>SUMIFS(Adjustments!$G:$G,Adjustments!$H:$H,"2K",Adjustments!$I:$I,'Schedule 2K Adjustments'!$V$12,Adjustments!$J:$J,'Schedule 2K Adjustments'!$A50)</f>
        <v>0</v>
      </c>
      <c r="X50" s="309">
        <f t="shared" si="6"/>
        <v>0</v>
      </c>
      <c r="Y50" s="120">
        <f>'As-Filed Schedule 2K'!O50</f>
        <v>0</v>
      </c>
      <c r="Z50" s="313">
        <f>SUMIFS(Adjustments!$G:$G,Adjustments!$H:$H,"2K",Adjustments!$I:$I,'Schedule 2K Adjustments'!$Y$12,Adjustments!$J:$J,'Schedule 2K Adjustments'!$A50)</f>
        <v>0</v>
      </c>
      <c r="AA50" s="309">
        <f t="shared" si="7"/>
        <v>0</v>
      </c>
    </row>
    <row r="51" spans="1:27" x14ac:dyDescent="0.35">
      <c r="A51" s="24">
        <v>37</v>
      </c>
      <c r="B51" s="507" t="str">
        <f>IF('As-Filed Schedule 2K'!B51:D51=0,"",'As-Filed Schedule 2K'!B51:D51)</f>
        <v/>
      </c>
      <c r="C51" s="507"/>
      <c r="D51" s="507"/>
      <c r="F51" s="117">
        <f>'As-Filed Schedule 2K'!F51</f>
        <v>0</v>
      </c>
      <c r="G51" s="313">
        <f>SUMIFS(Adjustments!$G:$G,Adjustments!$H:$H,"2K",Adjustments!$I:$I,'Schedule 2K Adjustments'!$F$12,Adjustments!$J:$J,'Schedule 2K Adjustments'!$A51)</f>
        <v>0</v>
      </c>
      <c r="H51" s="309">
        <f t="shared" si="0"/>
        <v>0</v>
      </c>
      <c r="I51" s="68">
        <f>IFERROR(F51*'As-Filed Schedule 1'!$E$103,0)</f>
        <v>0</v>
      </c>
      <c r="J51" s="310">
        <f>IFERROR(H51*'Adjusted Schedule 1'!$E$104,0)</f>
        <v>0</v>
      </c>
      <c r="K51" s="68">
        <f t="shared" si="1"/>
        <v>0</v>
      </c>
      <c r="L51" s="310">
        <f t="shared" si="2"/>
        <v>0</v>
      </c>
      <c r="N51" s="117">
        <f>'As-Filed Schedule 2K'!J51</f>
        <v>0</v>
      </c>
      <c r="O51" s="313">
        <f>SUMIFS(Adjustments!$G:$G,Adjustments!$H:$H,"2K",Adjustments!$I:$I,'Schedule 2K Adjustments'!$N$12,Adjustments!$J:$J,'Schedule 2K Adjustments'!$A51)</f>
        <v>0</v>
      </c>
      <c r="P51" s="309">
        <f t="shared" si="3"/>
        <v>0</v>
      </c>
      <c r="Q51" s="68">
        <f>IFERROR(N51*'As-Filed Schedule 1'!$E$103,0)</f>
        <v>0</v>
      </c>
      <c r="R51" s="68">
        <f>IFERROR(P51*'Adjusted Schedule 1'!$E$104,0)</f>
        <v>0</v>
      </c>
      <c r="S51" s="68">
        <f t="shared" si="4"/>
        <v>0</v>
      </c>
      <c r="T51" s="310">
        <f t="shared" si="5"/>
        <v>0</v>
      </c>
      <c r="V51" s="120">
        <f>'As-Filed Schedule 2K'!N51</f>
        <v>0</v>
      </c>
      <c r="W51" s="313">
        <f>SUMIFS(Adjustments!$G:$G,Adjustments!$H:$H,"2K",Adjustments!$I:$I,'Schedule 2K Adjustments'!$V$12,Adjustments!$J:$J,'Schedule 2K Adjustments'!$A51)</f>
        <v>0</v>
      </c>
      <c r="X51" s="309">
        <f t="shared" si="6"/>
        <v>0</v>
      </c>
      <c r="Y51" s="120">
        <f>'As-Filed Schedule 2K'!O51</f>
        <v>0</v>
      </c>
      <c r="Z51" s="313">
        <f>SUMIFS(Adjustments!$G:$G,Adjustments!$H:$H,"2K",Adjustments!$I:$I,'Schedule 2K Adjustments'!$Y$12,Adjustments!$J:$J,'Schedule 2K Adjustments'!$A51)</f>
        <v>0</v>
      </c>
      <c r="AA51" s="309">
        <f t="shared" si="7"/>
        <v>0</v>
      </c>
    </row>
    <row r="52" spans="1:27" x14ac:dyDescent="0.35">
      <c r="A52" s="24">
        <v>38</v>
      </c>
      <c r="B52" s="507" t="str">
        <f>IF('As-Filed Schedule 2K'!B52:D52=0,"",'As-Filed Schedule 2K'!B52:D52)</f>
        <v/>
      </c>
      <c r="C52" s="507"/>
      <c r="D52" s="507"/>
      <c r="F52" s="117">
        <f>'As-Filed Schedule 2K'!F52</f>
        <v>0</v>
      </c>
      <c r="G52" s="313">
        <f>SUMIFS(Adjustments!$G:$G,Adjustments!$H:$H,"2K",Adjustments!$I:$I,'Schedule 2K Adjustments'!$F$12,Adjustments!$J:$J,'Schedule 2K Adjustments'!$A52)</f>
        <v>0</v>
      </c>
      <c r="H52" s="309">
        <f t="shared" si="0"/>
        <v>0</v>
      </c>
      <c r="I52" s="68">
        <f>IFERROR(F52*'As-Filed Schedule 1'!$E$103,0)</f>
        <v>0</v>
      </c>
      <c r="J52" s="310">
        <f>IFERROR(H52*'Adjusted Schedule 1'!$E$104,0)</f>
        <v>0</v>
      </c>
      <c r="K52" s="68">
        <f t="shared" si="1"/>
        <v>0</v>
      </c>
      <c r="L52" s="310">
        <f t="shared" si="2"/>
        <v>0</v>
      </c>
      <c r="N52" s="117">
        <f>'As-Filed Schedule 2K'!J52</f>
        <v>0</v>
      </c>
      <c r="O52" s="313">
        <f>SUMIFS(Adjustments!$G:$G,Adjustments!$H:$H,"2K",Adjustments!$I:$I,'Schedule 2K Adjustments'!$N$12,Adjustments!$J:$J,'Schedule 2K Adjustments'!$A52)</f>
        <v>0</v>
      </c>
      <c r="P52" s="309">
        <f t="shared" si="3"/>
        <v>0</v>
      </c>
      <c r="Q52" s="68">
        <f>IFERROR(N52*'As-Filed Schedule 1'!$E$103,0)</f>
        <v>0</v>
      </c>
      <c r="R52" s="68">
        <f>IFERROR(P52*'Adjusted Schedule 1'!$E$104,0)</f>
        <v>0</v>
      </c>
      <c r="S52" s="68">
        <f t="shared" si="4"/>
        <v>0</v>
      </c>
      <c r="T52" s="310">
        <f t="shared" si="5"/>
        <v>0</v>
      </c>
      <c r="V52" s="120">
        <f>'As-Filed Schedule 2K'!N52</f>
        <v>0</v>
      </c>
      <c r="W52" s="313">
        <f>SUMIFS(Adjustments!$G:$G,Adjustments!$H:$H,"2K",Adjustments!$I:$I,'Schedule 2K Adjustments'!$V$12,Adjustments!$J:$J,'Schedule 2K Adjustments'!$A52)</f>
        <v>0</v>
      </c>
      <c r="X52" s="309">
        <f t="shared" si="6"/>
        <v>0</v>
      </c>
      <c r="Y52" s="120">
        <f>'As-Filed Schedule 2K'!O52</f>
        <v>0</v>
      </c>
      <c r="Z52" s="313">
        <f>SUMIFS(Adjustments!$G:$G,Adjustments!$H:$H,"2K",Adjustments!$I:$I,'Schedule 2K Adjustments'!$Y$12,Adjustments!$J:$J,'Schedule 2K Adjustments'!$A52)</f>
        <v>0</v>
      </c>
      <c r="AA52" s="309">
        <f t="shared" si="7"/>
        <v>0</v>
      </c>
    </row>
    <row r="53" spans="1:27" x14ac:dyDescent="0.35">
      <c r="A53" s="24">
        <v>39</v>
      </c>
      <c r="B53" s="507" t="str">
        <f>IF('As-Filed Schedule 2K'!B53:D53=0,"",'As-Filed Schedule 2K'!B53:D53)</f>
        <v/>
      </c>
      <c r="C53" s="507"/>
      <c r="D53" s="507"/>
      <c r="F53" s="117">
        <f>'As-Filed Schedule 2K'!F53</f>
        <v>0</v>
      </c>
      <c r="G53" s="313">
        <f>SUMIFS(Adjustments!$G:$G,Adjustments!$H:$H,"2K",Adjustments!$I:$I,'Schedule 2K Adjustments'!$F$12,Adjustments!$J:$J,'Schedule 2K Adjustments'!$A53)</f>
        <v>0</v>
      </c>
      <c r="H53" s="309">
        <f t="shared" si="0"/>
        <v>0</v>
      </c>
      <c r="I53" s="68">
        <f>IFERROR(F53*'As-Filed Schedule 1'!$E$103,0)</f>
        <v>0</v>
      </c>
      <c r="J53" s="310">
        <f>IFERROR(H53*'Adjusted Schedule 1'!$E$104,0)</f>
        <v>0</v>
      </c>
      <c r="K53" s="68">
        <f t="shared" si="1"/>
        <v>0</v>
      </c>
      <c r="L53" s="310">
        <f t="shared" si="2"/>
        <v>0</v>
      </c>
      <c r="N53" s="117">
        <f>'As-Filed Schedule 2K'!J53</f>
        <v>0</v>
      </c>
      <c r="O53" s="313">
        <f>SUMIFS(Adjustments!$G:$G,Adjustments!$H:$H,"2K",Adjustments!$I:$I,'Schedule 2K Adjustments'!$N$12,Adjustments!$J:$J,'Schedule 2K Adjustments'!$A53)</f>
        <v>0</v>
      </c>
      <c r="P53" s="309">
        <f t="shared" si="3"/>
        <v>0</v>
      </c>
      <c r="Q53" s="68">
        <f>IFERROR(N53*'As-Filed Schedule 1'!$E$103,0)</f>
        <v>0</v>
      </c>
      <c r="R53" s="68">
        <f>IFERROR(P53*'Adjusted Schedule 1'!$E$104,0)</f>
        <v>0</v>
      </c>
      <c r="S53" s="68">
        <f t="shared" si="4"/>
        <v>0</v>
      </c>
      <c r="T53" s="310">
        <f t="shared" si="5"/>
        <v>0</v>
      </c>
      <c r="V53" s="120">
        <f>'As-Filed Schedule 2K'!N53</f>
        <v>0</v>
      </c>
      <c r="W53" s="313">
        <f>SUMIFS(Adjustments!$G:$G,Adjustments!$H:$H,"2K",Adjustments!$I:$I,'Schedule 2K Adjustments'!$V$12,Adjustments!$J:$J,'Schedule 2K Adjustments'!$A53)</f>
        <v>0</v>
      </c>
      <c r="X53" s="309">
        <f t="shared" si="6"/>
        <v>0</v>
      </c>
      <c r="Y53" s="120">
        <f>'As-Filed Schedule 2K'!O53</f>
        <v>0</v>
      </c>
      <c r="Z53" s="313">
        <f>SUMIFS(Adjustments!$G:$G,Adjustments!$H:$H,"2K",Adjustments!$I:$I,'Schedule 2K Adjustments'!$Y$12,Adjustments!$J:$J,'Schedule 2K Adjustments'!$A53)</f>
        <v>0</v>
      </c>
      <c r="AA53" s="309">
        <f t="shared" si="7"/>
        <v>0</v>
      </c>
    </row>
    <row r="54" spans="1:27" x14ac:dyDescent="0.35">
      <c r="A54" s="24">
        <v>40</v>
      </c>
      <c r="B54" s="507" t="str">
        <f>IF('As-Filed Schedule 2K'!B54:D54=0,"",'As-Filed Schedule 2K'!B54:D54)</f>
        <v/>
      </c>
      <c r="C54" s="507"/>
      <c r="D54" s="507"/>
      <c r="F54" s="117">
        <f>'As-Filed Schedule 2K'!F54</f>
        <v>0</v>
      </c>
      <c r="G54" s="313">
        <f>SUMIFS(Adjustments!$G:$G,Adjustments!$H:$H,"2K",Adjustments!$I:$I,'Schedule 2K Adjustments'!$F$12,Adjustments!$J:$J,'Schedule 2K Adjustments'!$A54)</f>
        <v>0</v>
      </c>
      <c r="H54" s="309">
        <f t="shared" si="0"/>
        <v>0</v>
      </c>
      <c r="I54" s="68">
        <f>IFERROR(F54*'As-Filed Schedule 1'!$E$103,0)</f>
        <v>0</v>
      </c>
      <c r="J54" s="310">
        <f>IFERROR(H54*'Adjusted Schedule 1'!$E$104,0)</f>
        <v>0</v>
      </c>
      <c r="K54" s="68">
        <f t="shared" si="1"/>
        <v>0</v>
      </c>
      <c r="L54" s="310">
        <f t="shared" si="2"/>
        <v>0</v>
      </c>
      <c r="N54" s="117">
        <f>'As-Filed Schedule 2K'!J54</f>
        <v>0</v>
      </c>
      <c r="O54" s="313">
        <f>SUMIFS(Adjustments!$G:$G,Adjustments!$H:$H,"2K",Adjustments!$I:$I,'Schedule 2K Adjustments'!$N$12,Adjustments!$J:$J,'Schedule 2K Adjustments'!$A54)</f>
        <v>0</v>
      </c>
      <c r="P54" s="309">
        <f t="shared" si="3"/>
        <v>0</v>
      </c>
      <c r="Q54" s="68">
        <f>IFERROR(N54*'As-Filed Schedule 1'!$E$103,0)</f>
        <v>0</v>
      </c>
      <c r="R54" s="68">
        <f>IFERROR(P54*'Adjusted Schedule 1'!$E$104,0)</f>
        <v>0</v>
      </c>
      <c r="S54" s="68">
        <f t="shared" si="4"/>
        <v>0</v>
      </c>
      <c r="T54" s="310">
        <f t="shared" si="5"/>
        <v>0</v>
      </c>
      <c r="V54" s="120">
        <f>'As-Filed Schedule 2K'!N54</f>
        <v>0</v>
      </c>
      <c r="W54" s="313">
        <f>SUMIFS(Adjustments!$G:$G,Adjustments!$H:$H,"2K",Adjustments!$I:$I,'Schedule 2K Adjustments'!$V$12,Adjustments!$J:$J,'Schedule 2K Adjustments'!$A54)</f>
        <v>0</v>
      </c>
      <c r="X54" s="309">
        <f t="shared" si="6"/>
        <v>0</v>
      </c>
      <c r="Y54" s="120">
        <f>'As-Filed Schedule 2K'!O54</f>
        <v>0</v>
      </c>
      <c r="Z54" s="313">
        <f>SUMIFS(Adjustments!$G:$G,Adjustments!$H:$H,"2K",Adjustments!$I:$I,'Schedule 2K Adjustments'!$Y$12,Adjustments!$J:$J,'Schedule 2K Adjustments'!$A54)</f>
        <v>0</v>
      </c>
      <c r="AA54" s="309">
        <f t="shared" si="7"/>
        <v>0</v>
      </c>
    </row>
    <row r="55" spans="1:27" x14ac:dyDescent="0.35">
      <c r="A55" s="24">
        <v>41</v>
      </c>
      <c r="B55" s="507" t="str">
        <f>IF('As-Filed Schedule 2K'!B55:D55=0,"",'As-Filed Schedule 2K'!B55:D55)</f>
        <v/>
      </c>
      <c r="C55" s="507"/>
      <c r="D55" s="507"/>
      <c r="F55" s="117">
        <f>'As-Filed Schedule 2K'!F55</f>
        <v>0</v>
      </c>
      <c r="G55" s="313">
        <f>SUMIFS(Adjustments!$G:$G,Adjustments!$H:$H,"2K",Adjustments!$I:$I,'Schedule 2K Adjustments'!$F$12,Adjustments!$J:$J,'Schedule 2K Adjustments'!$A55)</f>
        <v>0</v>
      </c>
      <c r="H55" s="309">
        <f t="shared" si="0"/>
        <v>0</v>
      </c>
      <c r="I55" s="68">
        <f>IFERROR(F55*'As-Filed Schedule 1'!$E$103,0)</f>
        <v>0</v>
      </c>
      <c r="J55" s="310">
        <f>IFERROR(H55*'Adjusted Schedule 1'!$E$104,0)</f>
        <v>0</v>
      </c>
      <c r="K55" s="68">
        <f t="shared" si="1"/>
        <v>0</v>
      </c>
      <c r="L55" s="310">
        <f t="shared" si="2"/>
        <v>0</v>
      </c>
      <c r="N55" s="117">
        <f>'As-Filed Schedule 2K'!J55</f>
        <v>0</v>
      </c>
      <c r="O55" s="313">
        <f>SUMIFS(Adjustments!$G:$G,Adjustments!$H:$H,"2K",Adjustments!$I:$I,'Schedule 2K Adjustments'!$N$12,Adjustments!$J:$J,'Schedule 2K Adjustments'!$A55)</f>
        <v>0</v>
      </c>
      <c r="P55" s="309">
        <f t="shared" si="3"/>
        <v>0</v>
      </c>
      <c r="Q55" s="68">
        <f>IFERROR(N55*'As-Filed Schedule 1'!$E$103,0)</f>
        <v>0</v>
      </c>
      <c r="R55" s="68">
        <f>IFERROR(P55*'Adjusted Schedule 1'!$E$104,0)</f>
        <v>0</v>
      </c>
      <c r="S55" s="68">
        <f t="shared" si="4"/>
        <v>0</v>
      </c>
      <c r="T55" s="310">
        <f t="shared" si="5"/>
        <v>0</v>
      </c>
      <c r="V55" s="120">
        <f>'As-Filed Schedule 2K'!N55</f>
        <v>0</v>
      </c>
      <c r="W55" s="313">
        <f>SUMIFS(Adjustments!$G:$G,Adjustments!$H:$H,"2K",Adjustments!$I:$I,'Schedule 2K Adjustments'!$V$12,Adjustments!$J:$J,'Schedule 2K Adjustments'!$A55)</f>
        <v>0</v>
      </c>
      <c r="X55" s="309">
        <f t="shared" si="6"/>
        <v>0</v>
      </c>
      <c r="Y55" s="120">
        <f>'As-Filed Schedule 2K'!O55</f>
        <v>0</v>
      </c>
      <c r="Z55" s="313">
        <f>SUMIFS(Adjustments!$G:$G,Adjustments!$H:$H,"2K",Adjustments!$I:$I,'Schedule 2K Adjustments'!$Y$12,Adjustments!$J:$J,'Schedule 2K Adjustments'!$A55)</f>
        <v>0</v>
      </c>
      <c r="AA55" s="309">
        <f t="shared" si="7"/>
        <v>0</v>
      </c>
    </row>
    <row r="56" spans="1:27" x14ac:dyDescent="0.35">
      <c r="A56" s="24">
        <v>42</v>
      </c>
      <c r="B56" s="507" t="str">
        <f>IF('As-Filed Schedule 2K'!B56:D56=0,"",'As-Filed Schedule 2K'!B56:D56)</f>
        <v/>
      </c>
      <c r="C56" s="507"/>
      <c r="D56" s="507"/>
      <c r="F56" s="117">
        <f>'As-Filed Schedule 2K'!F56</f>
        <v>0</v>
      </c>
      <c r="G56" s="313">
        <f>SUMIFS(Adjustments!$G:$G,Adjustments!$H:$H,"2K",Adjustments!$I:$I,'Schedule 2K Adjustments'!$F$12,Adjustments!$J:$J,'Schedule 2K Adjustments'!$A56)</f>
        <v>0</v>
      </c>
      <c r="H56" s="309">
        <f t="shared" si="0"/>
        <v>0</v>
      </c>
      <c r="I56" s="68">
        <f>IFERROR(F56*'As-Filed Schedule 1'!$E$103,0)</f>
        <v>0</v>
      </c>
      <c r="J56" s="310">
        <f>IFERROR(H56*'Adjusted Schedule 1'!$E$104,0)</f>
        <v>0</v>
      </c>
      <c r="K56" s="68">
        <f t="shared" si="1"/>
        <v>0</v>
      </c>
      <c r="L56" s="310">
        <f t="shared" si="2"/>
        <v>0</v>
      </c>
      <c r="N56" s="117">
        <f>'As-Filed Schedule 2K'!J56</f>
        <v>0</v>
      </c>
      <c r="O56" s="313">
        <f>SUMIFS(Adjustments!$G:$G,Adjustments!$H:$H,"2K",Adjustments!$I:$I,'Schedule 2K Adjustments'!$N$12,Adjustments!$J:$J,'Schedule 2K Adjustments'!$A56)</f>
        <v>0</v>
      </c>
      <c r="P56" s="309">
        <f t="shared" si="3"/>
        <v>0</v>
      </c>
      <c r="Q56" s="68">
        <f>IFERROR(N56*'As-Filed Schedule 1'!$E$103,0)</f>
        <v>0</v>
      </c>
      <c r="R56" s="68">
        <f>IFERROR(P56*'Adjusted Schedule 1'!$E$104,0)</f>
        <v>0</v>
      </c>
      <c r="S56" s="68">
        <f t="shared" si="4"/>
        <v>0</v>
      </c>
      <c r="T56" s="310">
        <f t="shared" si="5"/>
        <v>0</v>
      </c>
      <c r="V56" s="120">
        <f>'As-Filed Schedule 2K'!N56</f>
        <v>0</v>
      </c>
      <c r="W56" s="313">
        <f>SUMIFS(Adjustments!$G:$G,Adjustments!$H:$H,"2K",Adjustments!$I:$I,'Schedule 2K Adjustments'!$V$12,Adjustments!$J:$J,'Schedule 2K Adjustments'!$A56)</f>
        <v>0</v>
      </c>
      <c r="X56" s="309">
        <f t="shared" si="6"/>
        <v>0</v>
      </c>
      <c r="Y56" s="120">
        <f>'As-Filed Schedule 2K'!O56</f>
        <v>0</v>
      </c>
      <c r="Z56" s="313">
        <f>SUMIFS(Adjustments!$G:$G,Adjustments!$H:$H,"2K",Adjustments!$I:$I,'Schedule 2K Adjustments'!$Y$12,Adjustments!$J:$J,'Schedule 2K Adjustments'!$A56)</f>
        <v>0</v>
      </c>
      <c r="AA56" s="309">
        <f t="shared" si="7"/>
        <v>0</v>
      </c>
    </row>
    <row r="57" spans="1:27" x14ac:dyDescent="0.35">
      <c r="A57" s="24">
        <v>43</v>
      </c>
      <c r="B57" s="507" t="str">
        <f>IF('As-Filed Schedule 2K'!B57:D57=0,"",'As-Filed Schedule 2K'!B57:D57)</f>
        <v/>
      </c>
      <c r="C57" s="507"/>
      <c r="D57" s="507"/>
      <c r="F57" s="117">
        <f>'As-Filed Schedule 2K'!F57</f>
        <v>0</v>
      </c>
      <c r="G57" s="313">
        <f>SUMIFS(Adjustments!$G:$G,Adjustments!$H:$H,"2K",Adjustments!$I:$I,'Schedule 2K Adjustments'!$F$12,Adjustments!$J:$J,'Schedule 2K Adjustments'!$A57)</f>
        <v>0</v>
      </c>
      <c r="H57" s="309">
        <f t="shared" si="0"/>
        <v>0</v>
      </c>
      <c r="I57" s="68">
        <f>IFERROR(F57*'As-Filed Schedule 1'!$E$103,0)</f>
        <v>0</v>
      </c>
      <c r="J57" s="310">
        <f>IFERROR(H57*'Adjusted Schedule 1'!$E$104,0)</f>
        <v>0</v>
      </c>
      <c r="K57" s="68">
        <f t="shared" si="1"/>
        <v>0</v>
      </c>
      <c r="L57" s="310">
        <f t="shared" si="2"/>
        <v>0</v>
      </c>
      <c r="N57" s="117">
        <f>'As-Filed Schedule 2K'!J57</f>
        <v>0</v>
      </c>
      <c r="O57" s="313">
        <f>SUMIFS(Adjustments!$G:$G,Adjustments!$H:$H,"2K",Adjustments!$I:$I,'Schedule 2K Adjustments'!$N$12,Adjustments!$J:$J,'Schedule 2K Adjustments'!$A57)</f>
        <v>0</v>
      </c>
      <c r="P57" s="309">
        <f t="shared" si="3"/>
        <v>0</v>
      </c>
      <c r="Q57" s="68">
        <f>IFERROR(N57*'As-Filed Schedule 1'!$E$103,0)</f>
        <v>0</v>
      </c>
      <c r="R57" s="68">
        <f>IFERROR(P57*'Adjusted Schedule 1'!$E$104,0)</f>
        <v>0</v>
      </c>
      <c r="S57" s="68">
        <f t="shared" si="4"/>
        <v>0</v>
      </c>
      <c r="T57" s="310">
        <f t="shared" si="5"/>
        <v>0</v>
      </c>
      <c r="V57" s="120">
        <f>'As-Filed Schedule 2K'!N57</f>
        <v>0</v>
      </c>
      <c r="W57" s="313">
        <f>SUMIFS(Adjustments!$G:$G,Adjustments!$H:$H,"2K",Adjustments!$I:$I,'Schedule 2K Adjustments'!$V$12,Adjustments!$J:$J,'Schedule 2K Adjustments'!$A57)</f>
        <v>0</v>
      </c>
      <c r="X57" s="309">
        <f t="shared" si="6"/>
        <v>0</v>
      </c>
      <c r="Y57" s="120">
        <f>'As-Filed Schedule 2K'!O57</f>
        <v>0</v>
      </c>
      <c r="Z57" s="313">
        <f>SUMIFS(Adjustments!$G:$G,Adjustments!$H:$H,"2K",Adjustments!$I:$I,'Schedule 2K Adjustments'!$Y$12,Adjustments!$J:$J,'Schedule 2K Adjustments'!$A57)</f>
        <v>0</v>
      </c>
      <c r="AA57" s="309">
        <f t="shared" si="7"/>
        <v>0</v>
      </c>
    </row>
    <row r="58" spans="1:27" x14ac:dyDescent="0.35">
      <c r="A58" s="24">
        <v>44</v>
      </c>
      <c r="B58" s="507" t="str">
        <f>IF('As-Filed Schedule 2K'!B58:D58=0,"",'As-Filed Schedule 2K'!B58:D58)</f>
        <v/>
      </c>
      <c r="C58" s="507"/>
      <c r="D58" s="507"/>
      <c r="F58" s="117">
        <f>'As-Filed Schedule 2K'!F58</f>
        <v>0</v>
      </c>
      <c r="G58" s="313">
        <f>SUMIFS(Adjustments!$G:$G,Adjustments!$H:$H,"2K",Adjustments!$I:$I,'Schedule 2K Adjustments'!$F$12,Adjustments!$J:$J,'Schedule 2K Adjustments'!$A58)</f>
        <v>0</v>
      </c>
      <c r="H58" s="309">
        <f t="shared" si="0"/>
        <v>0</v>
      </c>
      <c r="I58" s="68">
        <f>IFERROR(F58*'As-Filed Schedule 1'!$E$103,0)</f>
        <v>0</v>
      </c>
      <c r="J58" s="310">
        <f>IFERROR(H58*'Adjusted Schedule 1'!$E$104,0)</f>
        <v>0</v>
      </c>
      <c r="K58" s="68">
        <f t="shared" si="1"/>
        <v>0</v>
      </c>
      <c r="L58" s="310">
        <f t="shared" si="2"/>
        <v>0</v>
      </c>
      <c r="N58" s="117">
        <f>'As-Filed Schedule 2K'!J58</f>
        <v>0</v>
      </c>
      <c r="O58" s="313">
        <f>SUMIFS(Adjustments!$G:$G,Adjustments!$H:$H,"2K",Adjustments!$I:$I,'Schedule 2K Adjustments'!$N$12,Adjustments!$J:$J,'Schedule 2K Adjustments'!$A58)</f>
        <v>0</v>
      </c>
      <c r="P58" s="309">
        <f t="shared" si="3"/>
        <v>0</v>
      </c>
      <c r="Q58" s="68">
        <f>IFERROR(N58*'As-Filed Schedule 1'!$E$103,0)</f>
        <v>0</v>
      </c>
      <c r="R58" s="68">
        <f>IFERROR(P58*'Adjusted Schedule 1'!$E$104,0)</f>
        <v>0</v>
      </c>
      <c r="S58" s="68">
        <f t="shared" si="4"/>
        <v>0</v>
      </c>
      <c r="T58" s="310">
        <f t="shared" si="5"/>
        <v>0</v>
      </c>
      <c r="V58" s="120">
        <f>'As-Filed Schedule 2K'!N58</f>
        <v>0</v>
      </c>
      <c r="W58" s="313">
        <f>SUMIFS(Adjustments!$G:$G,Adjustments!$H:$H,"2K",Adjustments!$I:$I,'Schedule 2K Adjustments'!$V$12,Adjustments!$J:$J,'Schedule 2K Adjustments'!$A58)</f>
        <v>0</v>
      </c>
      <c r="X58" s="309">
        <f t="shared" si="6"/>
        <v>0</v>
      </c>
      <c r="Y58" s="120">
        <f>'As-Filed Schedule 2K'!O58</f>
        <v>0</v>
      </c>
      <c r="Z58" s="313">
        <f>SUMIFS(Adjustments!$G:$G,Adjustments!$H:$H,"2K",Adjustments!$I:$I,'Schedule 2K Adjustments'!$Y$12,Adjustments!$J:$J,'Schedule 2K Adjustments'!$A58)</f>
        <v>0</v>
      </c>
      <c r="AA58" s="309">
        <f t="shared" si="7"/>
        <v>0</v>
      </c>
    </row>
    <row r="59" spans="1:27" x14ac:dyDescent="0.35">
      <c r="A59" s="24">
        <v>45</v>
      </c>
      <c r="B59" s="507" t="str">
        <f>IF('As-Filed Schedule 2K'!B59:D59=0,"",'As-Filed Schedule 2K'!B59:D59)</f>
        <v/>
      </c>
      <c r="C59" s="507"/>
      <c r="D59" s="507"/>
      <c r="F59" s="117">
        <f>'As-Filed Schedule 2K'!F59</f>
        <v>0</v>
      </c>
      <c r="G59" s="313">
        <f>SUMIFS(Adjustments!$G:$G,Adjustments!$H:$H,"2K",Adjustments!$I:$I,'Schedule 2K Adjustments'!$F$12,Adjustments!$J:$J,'Schedule 2K Adjustments'!$A59)</f>
        <v>0</v>
      </c>
      <c r="H59" s="309">
        <f t="shared" si="0"/>
        <v>0</v>
      </c>
      <c r="I59" s="68">
        <f>IFERROR(F59*'As-Filed Schedule 1'!$E$103,0)</f>
        <v>0</v>
      </c>
      <c r="J59" s="310">
        <f>IFERROR(H59*'Adjusted Schedule 1'!$E$104,0)</f>
        <v>0</v>
      </c>
      <c r="K59" s="68">
        <f t="shared" si="1"/>
        <v>0</v>
      </c>
      <c r="L59" s="310">
        <f t="shared" si="2"/>
        <v>0</v>
      </c>
      <c r="N59" s="117">
        <f>'As-Filed Schedule 2K'!J59</f>
        <v>0</v>
      </c>
      <c r="O59" s="313">
        <f>SUMIFS(Adjustments!$G:$G,Adjustments!$H:$H,"2K",Adjustments!$I:$I,'Schedule 2K Adjustments'!$N$12,Adjustments!$J:$J,'Schedule 2K Adjustments'!$A59)</f>
        <v>0</v>
      </c>
      <c r="P59" s="309">
        <f t="shared" si="3"/>
        <v>0</v>
      </c>
      <c r="Q59" s="68">
        <f>IFERROR(N59*'As-Filed Schedule 1'!$E$103,0)</f>
        <v>0</v>
      </c>
      <c r="R59" s="68">
        <f>IFERROR(P59*'Adjusted Schedule 1'!$E$104,0)</f>
        <v>0</v>
      </c>
      <c r="S59" s="68">
        <f t="shared" si="4"/>
        <v>0</v>
      </c>
      <c r="T59" s="310">
        <f t="shared" si="5"/>
        <v>0</v>
      </c>
      <c r="V59" s="120">
        <f>'As-Filed Schedule 2K'!N59</f>
        <v>0</v>
      </c>
      <c r="W59" s="313">
        <f>SUMIFS(Adjustments!$G:$G,Adjustments!$H:$H,"2K",Adjustments!$I:$I,'Schedule 2K Adjustments'!$V$12,Adjustments!$J:$J,'Schedule 2K Adjustments'!$A59)</f>
        <v>0</v>
      </c>
      <c r="X59" s="309">
        <f t="shared" si="6"/>
        <v>0</v>
      </c>
      <c r="Y59" s="120">
        <f>'As-Filed Schedule 2K'!O59</f>
        <v>0</v>
      </c>
      <c r="Z59" s="313">
        <f>SUMIFS(Adjustments!$G:$G,Adjustments!$H:$H,"2K",Adjustments!$I:$I,'Schedule 2K Adjustments'!$Y$12,Adjustments!$J:$J,'Schedule 2K Adjustments'!$A59)</f>
        <v>0</v>
      </c>
      <c r="AA59" s="309">
        <f t="shared" si="7"/>
        <v>0</v>
      </c>
    </row>
    <row r="60" spans="1:27" x14ac:dyDescent="0.35">
      <c r="A60" s="24">
        <v>46</v>
      </c>
      <c r="B60" s="507" t="str">
        <f>IF('As-Filed Schedule 2K'!B60:D60=0,"",'As-Filed Schedule 2K'!B60:D60)</f>
        <v/>
      </c>
      <c r="C60" s="507"/>
      <c r="D60" s="507"/>
      <c r="F60" s="117">
        <f>'As-Filed Schedule 2K'!F60</f>
        <v>0</v>
      </c>
      <c r="G60" s="313">
        <f>SUMIFS(Adjustments!$G:$G,Adjustments!$H:$H,"2K",Adjustments!$I:$I,'Schedule 2K Adjustments'!$F$12,Adjustments!$J:$J,'Schedule 2K Adjustments'!$A60)</f>
        <v>0</v>
      </c>
      <c r="H60" s="309">
        <f t="shared" si="0"/>
        <v>0</v>
      </c>
      <c r="I60" s="68">
        <f>IFERROR(F60*'As-Filed Schedule 1'!$E$103,0)</f>
        <v>0</v>
      </c>
      <c r="J60" s="310">
        <f>IFERROR(H60*'Adjusted Schedule 1'!$E$104,0)</f>
        <v>0</v>
      </c>
      <c r="K60" s="68">
        <f t="shared" si="1"/>
        <v>0</v>
      </c>
      <c r="L60" s="310">
        <f t="shared" si="2"/>
        <v>0</v>
      </c>
      <c r="N60" s="117">
        <f>'As-Filed Schedule 2K'!J60</f>
        <v>0</v>
      </c>
      <c r="O60" s="313">
        <f>SUMIFS(Adjustments!$G:$G,Adjustments!$H:$H,"2K",Adjustments!$I:$I,'Schedule 2K Adjustments'!$N$12,Adjustments!$J:$J,'Schedule 2K Adjustments'!$A60)</f>
        <v>0</v>
      </c>
      <c r="P60" s="309">
        <f t="shared" si="3"/>
        <v>0</v>
      </c>
      <c r="Q60" s="68">
        <f>IFERROR(N60*'As-Filed Schedule 1'!$E$103,0)</f>
        <v>0</v>
      </c>
      <c r="R60" s="68">
        <f>IFERROR(P60*'Adjusted Schedule 1'!$E$104,0)</f>
        <v>0</v>
      </c>
      <c r="S60" s="68">
        <f t="shared" si="4"/>
        <v>0</v>
      </c>
      <c r="T60" s="310">
        <f t="shared" si="5"/>
        <v>0</v>
      </c>
      <c r="V60" s="120">
        <f>'As-Filed Schedule 2K'!N60</f>
        <v>0</v>
      </c>
      <c r="W60" s="313">
        <f>SUMIFS(Adjustments!$G:$G,Adjustments!$H:$H,"2K",Adjustments!$I:$I,'Schedule 2K Adjustments'!$V$12,Adjustments!$J:$J,'Schedule 2K Adjustments'!$A60)</f>
        <v>0</v>
      </c>
      <c r="X60" s="309">
        <f t="shared" si="6"/>
        <v>0</v>
      </c>
      <c r="Y60" s="120">
        <f>'As-Filed Schedule 2K'!O60</f>
        <v>0</v>
      </c>
      <c r="Z60" s="313">
        <f>SUMIFS(Adjustments!$G:$G,Adjustments!$H:$H,"2K",Adjustments!$I:$I,'Schedule 2K Adjustments'!$Y$12,Adjustments!$J:$J,'Schedule 2K Adjustments'!$A60)</f>
        <v>0</v>
      </c>
      <c r="AA60" s="309">
        <f t="shared" si="7"/>
        <v>0</v>
      </c>
    </row>
    <row r="61" spans="1:27" x14ac:dyDescent="0.35">
      <c r="A61" s="24">
        <v>47</v>
      </c>
      <c r="B61" s="507" t="str">
        <f>IF('As-Filed Schedule 2K'!B61:D61=0,"",'As-Filed Schedule 2K'!B61:D61)</f>
        <v/>
      </c>
      <c r="C61" s="507"/>
      <c r="D61" s="507"/>
      <c r="F61" s="117">
        <f>'As-Filed Schedule 2K'!F61</f>
        <v>0</v>
      </c>
      <c r="G61" s="313">
        <f>SUMIFS(Adjustments!$G:$G,Adjustments!$H:$H,"2K",Adjustments!$I:$I,'Schedule 2K Adjustments'!$F$12,Adjustments!$J:$J,'Schedule 2K Adjustments'!$A61)</f>
        <v>0</v>
      </c>
      <c r="H61" s="309">
        <f t="shared" si="0"/>
        <v>0</v>
      </c>
      <c r="I61" s="68">
        <f>IFERROR(F61*'As-Filed Schedule 1'!$E$103,0)</f>
        <v>0</v>
      </c>
      <c r="J61" s="310">
        <f>IFERROR(H61*'Adjusted Schedule 1'!$E$104,0)</f>
        <v>0</v>
      </c>
      <c r="K61" s="68">
        <f t="shared" si="1"/>
        <v>0</v>
      </c>
      <c r="L61" s="310">
        <f t="shared" si="2"/>
        <v>0</v>
      </c>
      <c r="N61" s="117">
        <f>'As-Filed Schedule 2K'!J61</f>
        <v>0</v>
      </c>
      <c r="O61" s="313">
        <f>SUMIFS(Adjustments!$G:$G,Adjustments!$H:$H,"2K",Adjustments!$I:$I,'Schedule 2K Adjustments'!$N$12,Adjustments!$J:$J,'Schedule 2K Adjustments'!$A61)</f>
        <v>0</v>
      </c>
      <c r="P61" s="309">
        <f t="shared" si="3"/>
        <v>0</v>
      </c>
      <c r="Q61" s="68">
        <f>IFERROR(N61*'As-Filed Schedule 1'!$E$103,0)</f>
        <v>0</v>
      </c>
      <c r="R61" s="68">
        <f>IFERROR(P61*'Adjusted Schedule 1'!$E$104,0)</f>
        <v>0</v>
      </c>
      <c r="S61" s="68">
        <f t="shared" si="4"/>
        <v>0</v>
      </c>
      <c r="T61" s="310">
        <f t="shared" si="5"/>
        <v>0</v>
      </c>
      <c r="V61" s="120">
        <f>'As-Filed Schedule 2K'!N61</f>
        <v>0</v>
      </c>
      <c r="W61" s="313">
        <f>SUMIFS(Adjustments!$G:$G,Adjustments!$H:$H,"2K",Adjustments!$I:$I,'Schedule 2K Adjustments'!$V$12,Adjustments!$J:$J,'Schedule 2K Adjustments'!$A61)</f>
        <v>0</v>
      </c>
      <c r="X61" s="309">
        <f t="shared" si="6"/>
        <v>0</v>
      </c>
      <c r="Y61" s="120">
        <f>'As-Filed Schedule 2K'!O61</f>
        <v>0</v>
      </c>
      <c r="Z61" s="313">
        <f>SUMIFS(Adjustments!$G:$G,Adjustments!$H:$H,"2K",Adjustments!$I:$I,'Schedule 2K Adjustments'!$Y$12,Adjustments!$J:$J,'Schedule 2K Adjustments'!$A61)</f>
        <v>0</v>
      </c>
      <c r="AA61" s="309">
        <f t="shared" si="7"/>
        <v>0</v>
      </c>
    </row>
    <row r="62" spans="1:27" x14ac:dyDescent="0.35">
      <c r="A62" s="24">
        <v>48</v>
      </c>
      <c r="B62" s="507" t="str">
        <f>IF('As-Filed Schedule 2K'!B62:D62=0,"",'As-Filed Schedule 2K'!B62:D62)</f>
        <v/>
      </c>
      <c r="C62" s="507"/>
      <c r="D62" s="507"/>
      <c r="F62" s="117">
        <f>'As-Filed Schedule 2K'!F62</f>
        <v>0</v>
      </c>
      <c r="G62" s="313">
        <f>SUMIFS(Adjustments!$G:$G,Adjustments!$H:$H,"2K",Adjustments!$I:$I,'Schedule 2K Adjustments'!$F$12,Adjustments!$J:$J,'Schedule 2K Adjustments'!$A62)</f>
        <v>0</v>
      </c>
      <c r="H62" s="309">
        <f t="shared" si="0"/>
        <v>0</v>
      </c>
      <c r="I62" s="68">
        <f>IFERROR(F62*'As-Filed Schedule 1'!$E$103,0)</f>
        <v>0</v>
      </c>
      <c r="J62" s="310">
        <f>IFERROR(H62*'Adjusted Schedule 1'!$E$104,0)</f>
        <v>0</v>
      </c>
      <c r="K62" s="68">
        <f t="shared" si="1"/>
        <v>0</v>
      </c>
      <c r="L62" s="310">
        <f t="shared" si="2"/>
        <v>0</v>
      </c>
      <c r="N62" s="117">
        <f>'As-Filed Schedule 2K'!J62</f>
        <v>0</v>
      </c>
      <c r="O62" s="313">
        <f>SUMIFS(Adjustments!$G:$G,Adjustments!$H:$H,"2K",Adjustments!$I:$I,'Schedule 2K Adjustments'!$N$12,Adjustments!$J:$J,'Schedule 2K Adjustments'!$A62)</f>
        <v>0</v>
      </c>
      <c r="P62" s="309">
        <f t="shared" si="3"/>
        <v>0</v>
      </c>
      <c r="Q62" s="68">
        <f>IFERROR(N62*'As-Filed Schedule 1'!$E$103,0)</f>
        <v>0</v>
      </c>
      <c r="R62" s="68">
        <f>IFERROR(P62*'Adjusted Schedule 1'!$E$104,0)</f>
        <v>0</v>
      </c>
      <c r="S62" s="68">
        <f t="shared" si="4"/>
        <v>0</v>
      </c>
      <c r="T62" s="310">
        <f t="shared" si="5"/>
        <v>0</v>
      </c>
      <c r="V62" s="120">
        <f>'As-Filed Schedule 2K'!N62</f>
        <v>0</v>
      </c>
      <c r="W62" s="313">
        <f>SUMIFS(Adjustments!$G:$G,Adjustments!$H:$H,"2K",Adjustments!$I:$I,'Schedule 2K Adjustments'!$V$12,Adjustments!$J:$J,'Schedule 2K Adjustments'!$A62)</f>
        <v>0</v>
      </c>
      <c r="X62" s="309">
        <f t="shared" si="6"/>
        <v>0</v>
      </c>
      <c r="Y62" s="120">
        <f>'As-Filed Schedule 2K'!O62</f>
        <v>0</v>
      </c>
      <c r="Z62" s="313">
        <f>SUMIFS(Adjustments!$G:$G,Adjustments!$H:$H,"2K",Adjustments!$I:$I,'Schedule 2K Adjustments'!$Y$12,Adjustments!$J:$J,'Schedule 2K Adjustments'!$A62)</f>
        <v>0</v>
      </c>
      <c r="AA62" s="309">
        <f t="shared" si="7"/>
        <v>0</v>
      </c>
    </row>
    <row r="63" spans="1:27" x14ac:dyDescent="0.35">
      <c r="A63" s="24">
        <v>49</v>
      </c>
      <c r="B63" s="507" t="str">
        <f>IF('As-Filed Schedule 2K'!B63:D63=0,"",'As-Filed Schedule 2K'!B63:D63)</f>
        <v/>
      </c>
      <c r="C63" s="507"/>
      <c r="D63" s="507"/>
      <c r="F63" s="117">
        <f>'As-Filed Schedule 2K'!F63</f>
        <v>0</v>
      </c>
      <c r="G63" s="313">
        <f>SUMIFS(Adjustments!$G:$G,Adjustments!$H:$H,"2K",Adjustments!$I:$I,'Schedule 2K Adjustments'!$F$12,Adjustments!$J:$J,'Schedule 2K Adjustments'!$A63)</f>
        <v>0</v>
      </c>
      <c r="H63" s="309">
        <f t="shared" si="0"/>
        <v>0</v>
      </c>
      <c r="I63" s="68">
        <f>IFERROR(F63*'As-Filed Schedule 1'!$E$103,0)</f>
        <v>0</v>
      </c>
      <c r="J63" s="310">
        <f>IFERROR(H63*'Adjusted Schedule 1'!$E$104,0)</f>
        <v>0</v>
      </c>
      <c r="K63" s="68">
        <f t="shared" si="1"/>
        <v>0</v>
      </c>
      <c r="L63" s="310">
        <f t="shared" si="2"/>
        <v>0</v>
      </c>
      <c r="N63" s="117">
        <f>'As-Filed Schedule 2K'!J63</f>
        <v>0</v>
      </c>
      <c r="O63" s="313">
        <f>SUMIFS(Adjustments!$G:$G,Adjustments!$H:$H,"2K",Adjustments!$I:$I,'Schedule 2K Adjustments'!$N$12,Adjustments!$J:$J,'Schedule 2K Adjustments'!$A63)</f>
        <v>0</v>
      </c>
      <c r="P63" s="309">
        <f t="shared" si="3"/>
        <v>0</v>
      </c>
      <c r="Q63" s="68">
        <f>IFERROR(N63*'As-Filed Schedule 1'!$E$103,0)</f>
        <v>0</v>
      </c>
      <c r="R63" s="68">
        <f>IFERROR(P63*'Adjusted Schedule 1'!$E$104,0)</f>
        <v>0</v>
      </c>
      <c r="S63" s="68">
        <f t="shared" si="4"/>
        <v>0</v>
      </c>
      <c r="T63" s="310">
        <f t="shared" si="5"/>
        <v>0</v>
      </c>
      <c r="V63" s="120">
        <f>'As-Filed Schedule 2K'!N63</f>
        <v>0</v>
      </c>
      <c r="W63" s="313">
        <f>SUMIFS(Adjustments!$G:$G,Adjustments!$H:$H,"2K",Adjustments!$I:$I,'Schedule 2K Adjustments'!$V$12,Adjustments!$J:$J,'Schedule 2K Adjustments'!$A63)</f>
        <v>0</v>
      </c>
      <c r="X63" s="309">
        <f t="shared" si="6"/>
        <v>0</v>
      </c>
      <c r="Y63" s="120">
        <f>'As-Filed Schedule 2K'!O63</f>
        <v>0</v>
      </c>
      <c r="Z63" s="313">
        <f>SUMIFS(Adjustments!$G:$G,Adjustments!$H:$H,"2K",Adjustments!$I:$I,'Schedule 2K Adjustments'!$Y$12,Adjustments!$J:$J,'Schedule 2K Adjustments'!$A63)</f>
        <v>0</v>
      </c>
      <c r="AA63" s="309">
        <f t="shared" si="7"/>
        <v>0</v>
      </c>
    </row>
    <row r="64" spans="1:27" x14ac:dyDescent="0.35">
      <c r="A64" s="24">
        <v>50</v>
      </c>
      <c r="B64" s="507" t="str">
        <f>IF('As-Filed Schedule 2K'!B64:D64=0,"",'As-Filed Schedule 2K'!B64:D64)</f>
        <v/>
      </c>
      <c r="C64" s="507"/>
      <c r="D64" s="507"/>
      <c r="F64" s="117">
        <f>'As-Filed Schedule 2K'!F64</f>
        <v>0</v>
      </c>
      <c r="G64" s="313">
        <f>SUMIFS(Adjustments!$G:$G,Adjustments!$H:$H,"2K",Adjustments!$I:$I,'Schedule 2K Adjustments'!$F$12,Adjustments!$J:$J,'Schedule 2K Adjustments'!$A64)</f>
        <v>0</v>
      </c>
      <c r="H64" s="309">
        <f t="shared" si="0"/>
        <v>0</v>
      </c>
      <c r="I64" s="68">
        <f>IFERROR(F64*'As-Filed Schedule 1'!$E$103,0)</f>
        <v>0</v>
      </c>
      <c r="J64" s="310">
        <f>IFERROR(H64*'Adjusted Schedule 1'!$E$104,0)</f>
        <v>0</v>
      </c>
      <c r="K64" s="68">
        <f t="shared" si="1"/>
        <v>0</v>
      </c>
      <c r="L64" s="310">
        <f t="shared" si="2"/>
        <v>0</v>
      </c>
      <c r="N64" s="117">
        <f>'As-Filed Schedule 2K'!J64</f>
        <v>0</v>
      </c>
      <c r="O64" s="313">
        <f>SUMIFS(Adjustments!$G:$G,Adjustments!$H:$H,"2K",Adjustments!$I:$I,'Schedule 2K Adjustments'!$N$12,Adjustments!$J:$J,'Schedule 2K Adjustments'!$A64)</f>
        <v>0</v>
      </c>
      <c r="P64" s="309">
        <f t="shared" si="3"/>
        <v>0</v>
      </c>
      <c r="Q64" s="68">
        <f>IFERROR(N64*'As-Filed Schedule 1'!$E$103,0)</f>
        <v>0</v>
      </c>
      <c r="R64" s="68">
        <f>IFERROR(P64*'Adjusted Schedule 1'!$E$104,0)</f>
        <v>0</v>
      </c>
      <c r="S64" s="68">
        <f t="shared" si="4"/>
        <v>0</v>
      </c>
      <c r="T64" s="310">
        <f t="shared" si="5"/>
        <v>0</v>
      </c>
      <c r="V64" s="120">
        <f>'As-Filed Schedule 2K'!N64</f>
        <v>0</v>
      </c>
      <c r="W64" s="313">
        <f>SUMIFS(Adjustments!$G:$G,Adjustments!$H:$H,"2K",Adjustments!$I:$I,'Schedule 2K Adjustments'!$V$12,Adjustments!$J:$J,'Schedule 2K Adjustments'!$A64)</f>
        <v>0</v>
      </c>
      <c r="X64" s="309">
        <f t="shared" si="6"/>
        <v>0</v>
      </c>
      <c r="Y64" s="120">
        <f>'As-Filed Schedule 2K'!O64</f>
        <v>0</v>
      </c>
      <c r="Z64" s="313">
        <f>SUMIFS(Adjustments!$G:$G,Adjustments!$H:$H,"2K",Adjustments!$I:$I,'Schedule 2K Adjustments'!$Y$12,Adjustments!$J:$J,'Schedule 2K Adjustments'!$A64)</f>
        <v>0</v>
      </c>
      <c r="AA64" s="309">
        <f t="shared" si="7"/>
        <v>0</v>
      </c>
    </row>
    <row r="65" spans="1:27" x14ac:dyDescent="0.35">
      <c r="A65" s="24">
        <v>51</v>
      </c>
      <c r="B65" s="507" t="str">
        <f>IF('As-Filed Schedule 2K'!B65:D65=0,"",'As-Filed Schedule 2K'!B65:D65)</f>
        <v/>
      </c>
      <c r="C65" s="507"/>
      <c r="D65" s="507"/>
      <c r="F65" s="117">
        <f>'As-Filed Schedule 2K'!F65</f>
        <v>0</v>
      </c>
      <c r="G65" s="313">
        <f>SUMIFS(Adjustments!$G:$G,Adjustments!$H:$H,"2K",Adjustments!$I:$I,'Schedule 2K Adjustments'!$F$12,Adjustments!$J:$J,'Schedule 2K Adjustments'!$A65)</f>
        <v>0</v>
      </c>
      <c r="H65" s="309">
        <f t="shared" si="0"/>
        <v>0</v>
      </c>
      <c r="I65" s="68">
        <f>IFERROR(F65*'As-Filed Schedule 1'!$E$103,0)</f>
        <v>0</v>
      </c>
      <c r="J65" s="310">
        <f>IFERROR(H65*'Adjusted Schedule 1'!$E$104,0)</f>
        <v>0</v>
      </c>
      <c r="K65" s="68">
        <f t="shared" si="1"/>
        <v>0</v>
      </c>
      <c r="L65" s="310">
        <f t="shared" si="2"/>
        <v>0</v>
      </c>
      <c r="N65" s="117">
        <f>'As-Filed Schedule 2K'!J65</f>
        <v>0</v>
      </c>
      <c r="O65" s="313">
        <f>SUMIFS(Adjustments!$G:$G,Adjustments!$H:$H,"2K",Adjustments!$I:$I,'Schedule 2K Adjustments'!$N$12,Adjustments!$J:$J,'Schedule 2K Adjustments'!$A65)</f>
        <v>0</v>
      </c>
      <c r="P65" s="309">
        <f t="shared" si="3"/>
        <v>0</v>
      </c>
      <c r="Q65" s="68">
        <f>IFERROR(N65*'As-Filed Schedule 1'!$E$103,0)</f>
        <v>0</v>
      </c>
      <c r="R65" s="68">
        <f>IFERROR(P65*'Adjusted Schedule 1'!$E$104,0)</f>
        <v>0</v>
      </c>
      <c r="S65" s="68">
        <f t="shared" si="4"/>
        <v>0</v>
      </c>
      <c r="T65" s="310">
        <f t="shared" si="5"/>
        <v>0</v>
      </c>
      <c r="V65" s="120">
        <f>'As-Filed Schedule 2K'!N65</f>
        <v>0</v>
      </c>
      <c r="W65" s="313">
        <f>SUMIFS(Adjustments!$G:$G,Adjustments!$H:$H,"2K",Adjustments!$I:$I,'Schedule 2K Adjustments'!$V$12,Adjustments!$J:$J,'Schedule 2K Adjustments'!$A65)</f>
        <v>0</v>
      </c>
      <c r="X65" s="309">
        <f t="shared" si="6"/>
        <v>0</v>
      </c>
      <c r="Y65" s="120">
        <f>'As-Filed Schedule 2K'!O65</f>
        <v>0</v>
      </c>
      <c r="Z65" s="313">
        <f>SUMIFS(Adjustments!$G:$G,Adjustments!$H:$H,"2K",Adjustments!$I:$I,'Schedule 2K Adjustments'!$Y$12,Adjustments!$J:$J,'Schedule 2K Adjustments'!$A65)</f>
        <v>0</v>
      </c>
      <c r="AA65" s="309">
        <f t="shared" si="7"/>
        <v>0</v>
      </c>
    </row>
    <row r="66" spans="1:27" x14ac:dyDescent="0.35">
      <c r="A66" s="24">
        <v>52</v>
      </c>
      <c r="B66" s="507" t="str">
        <f>IF('As-Filed Schedule 2K'!B66:D66=0,"",'As-Filed Schedule 2K'!B66:D66)</f>
        <v/>
      </c>
      <c r="C66" s="507"/>
      <c r="D66" s="507"/>
      <c r="F66" s="117">
        <f>'As-Filed Schedule 2K'!F66</f>
        <v>0</v>
      </c>
      <c r="G66" s="313">
        <f>SUMIFS(Adjustments!$G:$G,Adjustments!$H:$H,"2K",Adjustments!$I:$I,'Schedule 2K Adjustments'!$F$12,Adjustments!$J:$J,'Schedule 2K Adjustments'!$A66)</f>
        <v>0</v>
      </c>
      <c r="H66" s="309">
        <f t="shared" si="0"/>
        <v>0</v>
      </c>
      <c r="I66" s="68">
        <f>IFERROR(F66*'As-Filed Schedule 1'!$E$103,0)</f>
        <v>0</v>
      </c>
      <c r="J66" s="310">
        <f>IFERROR(H66*'Adjusted Schedule 1'!$E$104,0)</f>
        <v>0</v>
      </c>
      <c r="K66" s="68">
        <f t="shared" si="1"/>
        <v>0</v>
      </c>
      <c r="L66" s="310">
        <f t="shared" si="2"/>
        <v>0</v>
      </c>
      <c r="N66" s="117">
        <f>'As-Filed Schedule 2K'!J66</f>
        <v>0</v>
      </c>
      <c r="O66" s="313">
        <f>SUMIFS(Adjustments!$G:$G,Adjustments!$H:$H,"2K",Adjustments!$I:$I,'Schedule 2K Adjustments'!$N$12,Adjustments!$J:$J,'Schedule 2K Adjustments'!$A66)</f>
        <v>0</v>
      </c>
      <c r="P66" s="309">
        <f t="shared" si="3"/>
        <v>0</v>
      </c>
      <c r="Q66" s="68">
        <f>IFERROR(N66*'As-Filed Schedule 1'!$E$103,0)</f>
        <v>0</v>
      </c>
      <c r="R66" s="68">
        <f>IFERROR(P66*'Adjusted Schedule 1'!$E$104,0)</f>
        <v>0</v>
      </c>
      <c r="S66" s="68">
        <f t="shared" si="4"/>
        <v>0</v>
      </c>
      <c r="T66" s="310">
        <f t="shared" si="5"/>
        <v>0</v>
      </c>
      <c r="V66" s="120">
        <f>'As-Filed Schedule 2K'!N66</f>
        <v>0</v>
      </c>
      <c r="W66" s="313">
        <f>SUMIFS(Adjustments!$G:$G,Adjustments!$H:$H,"2K",Adjustments!$I:$I,'Schedule 2K Adjustments'!$V$12,Adjustments!$J:$J,'Schedule 2K Adjustments'!$A66)</f>
        <v>0</v>
      </c>
      <c r="X66" s="309">
        <f t="shared" si="6"/>
        <v>0</v>
      </c>
      <c r="Y66" s="120">
        <f>'As-Filed Schedule 2K'!O66</f>
        <v>0</v>
      </c>
      <c r="Z66" s="313">
        <f>SUMIFS(Adjustments!$G:$G,Adjustments!$H:$H,"2K",Adjustments!$I:$I,'Schedule 2K Adjustments'!$Y$12,Adjustments!$J:$J,'Schedule 2K Adjustments'!$A66)</f>
        <v>0</v>
      </c>
      <c r="AA66" s="309">
        <f t="shared" si="7"/>
        <v>0</v>
      </c>
    </row>
    <row r="67" spans="1:27" x14ac:dyDescent="0.35">
      <c r="A67" s="24">
        <v>53</v>
      </c>
      <c r="B67" s="507" t="str">
        <f>IF('As-Filed Schedule 2K'!B67:D67=0,"",'As-Filed Schedule 2K'!B67:D67)</f>
        <v/>
      </c>
      <c r="C67" s="507"/>
      <c r="D67" s="507"/>
      <c r="F67" s="117">
        <f>'As-Filed Schedule 2K'!F67</f>
        <v>0</v>
      </c>
      <c r="G67" s="313">
        <f>SUMIFS(Adjustments!$G:$G,Adjustments!$H:$H,"2K",Adjustments!$I:$I,'Schedule 2K Adjustments'!$F$12,Adjustments!$J:$J,'Schedule 2K Adjustments'!$A67)</f>
        <v>0</v>
      </c>
      <c r="H67" s="309">
        <f t="shared" si="0"/>
        <v>0</v>
      </c>
      <c r="I67" s="68">
        <f>IFERROR(F67*'As-Filed Schedule 1'!$E$103,0)</f>
        <v>0</v>
      </c>
      <c r="J67" s="310">
        <f>IFERROR(H67*'Adjusted Schedule 1'!$E$104,0)</f>
        <v>0</v>
      </c>
      <c r="K67" s="68">
        <f t="shared" si="1"/>
        <v>0</v>
      </c>
      <c r="L67" s="310">
        <f t="shared" si="2"/>
        <v>0</v>
      </c>
      <c r="N67" s="117">
        <f>'As-Filed Schedule 2K'!J67</f>
        <v>0</v>
      </c>
      <c r="O67" s="313">
        <f>SUMIFS(Adjustments!$G:$G,Adjustments!$H:$H,"2K",Adjustments!$I:$I,'Schedule 2K Adjustments'!$N$12,Adjustments!$J:$J,'Schedule 2K Adjustments'!$A67)</f>
        <v>0</v>
      </c>
      <c r="P67" s="309">
        <f t="shared" si="3"/>
        <v>0</v>
      </c>
      <c r="Q67" s="68">
        <f>IFERROR(N67*'As-Filed Schedule 1'!$E$103,0)</f>
        <v>0</v>
      </c>
      <c r="R67" s="68">
        <f>IFERROR(P67*'Adjusted Schedule 1'!$E$104,0)</f>
        <v>0</v>
      </c>
      <c r="S67" s="68">
        <f t="shared" si="4"/>
        <v>0</v>
      </c>
      <c r="T67" s="310">
        <f t="shared" si="5"/>
        <v>0</v>
      </c>
      <c r="V67" s="120">
        <f>'As-Filed Schedule 2K'!N67</f>
        <v>0</v>
      </c>
      <c r="W67" s="313">
        <f>SUMIFS(Adjustments!$G:$G,Adjustments!$H:$H,"2K",Adjustments!$I:$I,'Schedule 2K Adjustments'!$V$12,Adjustments!$J:$J,'Schedule 2K Adjustments'!$A67)</f>
        <v>0</v>
      </c>
      <c r="X67" s="309">
        <f t="shared" si="6"/>
        <v>0</v>
      </c>
      <c r="Y67" s="120">
        <f>'As-Filed Schedule 2K'!O67</f>
        <v>0</v>
      </c>
      <c r="Z67" s="313">
        <f>SUMIFS(Adjustments!$G:$G,Adjustments!$H:$H,"2K",Adjustments!$I:$I,'Schedule 2K Adjustments'!$Y$12,Adjustments!$J:$J,'Schedule 2K Adjustments'!$A67)</f>
        <v>0</v>
      </c>
      <c r="AA67" s="309">
        <f t="shared" si="7"/>
        <v>0</v>
      </c>
    </row>
    <row r="68" spans="1:27" x14ac:dyDescent="0.35">
      <c r="A68" s="24">
        <v>54</v>
      </c>
      <c r="B68" s="507" t="str">
        <f>IF('As-Filed Schedule 2K'!B68:D68=0,"",'As-Filed Schedule 2K'!B68:D68)</f>
        <v/>
      </c>
      <c r="C68" s="507"/>
      <c r="D68" s="507"/>
      <c r="F68" s="117">
        <f>'As-Filed Schedule 2K'!F68</f>
        <v>0</v>
      </c>
      <c r="G68" s="313">
        <f>SUMIFS(Adjustments!$G:$G,Adjustments!$H:$H,"2K",Adjustments!$I:$I,'Schedule 2K Adjustments'!$F$12,Adjustments!$J:$J,'Schedule 2K Adjustments'!$A68)</f>
        <v>0</v>
      </c>
      <c r="H68" s="309">
        <f t="shared" si="0"/>
        <v>0</v>
      </c>
      <c r="I68" s="68">
        <f>IFERROR(F68*'As-Filed Schedule 1'!$E$103,0)</f>
        <v>0</v>
      </c>
      <c r="J68" s="310">
        <f>IFERROR(H68*'Adjusted Schedule 1'!$E$104,0)</f>
        <v>0</v>
      </c>
      <c r="K68" s="68">
        <f t="shared" si="1"/>
        <v>0</v>
      </c>
      <c r="L68" s="310">
        <f t="shared" si="2"/>
        <v>0</v>
      </c>
      <c r="N68" s="117">
        <f>'As-Filed Schedule 2K'!J68</f>
        <v>0</v>
      </c>
      <c r="O68" s="313">
        <f>SUMIFS(Adjustments!$G:$G,Adjustments!$H:$H,"2K",Adjustments!$I:$I,'Schedule 2K Adjustments'!$N$12,Adjustments!$J:$J,'Schedule 2K Adjustments'!$A68)</f>
        <v>0</v>
      </c>
      <c r="P68" s="309">
        <f t="shared" si="3"/>
        <v>0</v>
      </c>
      <c r="Q68" s="68">
        <f>IFERROR(N68*'As-Filed Schedule 1'!$E$103,0)</f>
        <v>0</v>
      </c>
      <c r="R68" s="68">
        <f>IFERROR(P68*'Adjusted Schedule 1'!$E$104,0)</f>
        <v>0</v>
      </c>
      <c r="S68" s="68">
        <f t="shared" si="4"/>
        <v>0</v>
      </c>
      <c r="T68" s="310">
        <f t="shared" si="5"/>
        <v>0</v>
      </c>
      <c r="V68" s="120">
        <f>'As-Filed Schedule 2K'!N68</f>
        <v>0</v>
      </c>
      <c r="W68" s="313">
        <f>SUMIFS(Adjustments!$G:$G,Adjustments!$H:$H,"2K",Adjustments!$I:$I,'Schedule 2K Adjustments'!$V$12,Adjustments!$J:$J,'Schedule 2K Adjustments'!$A68)</f>
        <v>0</v>
      </c>
      <c r="X68" s="309">
        <f t="shared" si="6"/>
        <v>0</v>
      </c>
      <c r="Y68" s="120">
        <f>'As-Filed Schedule 2K'!O68</f>
        <v>0</v>
      </c>
      <c r="Z68" s="313">
        <f>SUMIFS(Adjustments!$G:$G,Adjustments!$H:$H,"2K",Adjustments!$I:$I,'Schedule 2K Adjustments'!$Y$12,Adjustments!$J:$J,'Schedule 2K Adjustments'!$A68)</f>
        <v>0</v>
      </c>
      <c r="AA68" s="309">
        <f t="shared" si="7"/>
        <v>0</v>
      </c>
    </row>
    <row r="69" spans="1:27" x14ac:dyDescent="0.35">
      <c r="A69" s="24">
        <v>55</v>
      </c>
      <c r="B69" s="507" t="str">
        <f>IF('As-Filed Schedule 2K'!B69:D69=0,"",'As-Filed Schedule 2K'!B69:D69)</f>
        <v/>
      </c>
      <c r="C69" s="507"/>
      <c r="D69" s="507"/>
      <c r="F69" s="117">
        <f>'As-Filed Schedule 2K'!F69</f>
        <v>0</v>
      </c>
      <c r="G69" s="313">
        <f>SUMIFS(Adjustments!$G:$G,Adjustments!$H:$H,"2K",Adjustments!$I:$I,'Schedule 2K Adjustments'!$F$12,Adjustments!$J:$J,'Schedule 2K Adjustments'!$A69)</f>
        <v>0</v>
      </c>
      <c r="H69" s="309">
        <f t="shared" si="0"/>
        <v>0</v>
      </c>
      <c r="I69" s="68">
        <f>IFERROR(F69*'As-Filed Schedule 1'!$E$103,0)</f>
        <v>0</v>
      </c>
      <c r="J69" s="310">
        <f>IFERROR(H69*'Adjusted Schedule 1'!$E$104,0)</f>
        <v>0</v>
      </c>
      <c r="K69" s="68">
        <f t="shared" si="1"/>
        <v>0</v>
      </c>
      <c r="L69" s="310">
        <f t="shared" si="2"/>
        <v>0</v>
      </c>
      <c r="N69" s="117">
        <f>'As-Filed Schedule 2K'!J69</f>
        <v>0</v>
      </c>
      <c r="O69" s="313">
        <f>SUMIFS(Adjustments!$G:$G,Adjustments!$H:$H,"2K",Adjustments!$I:$I,'Schedule 2K Adjustments'!$N$12,Adjustments!$J:$J,'Schedule 2K Adjustments'!$A69)</f>
        <v>0</v>
      </c>
      <c r="P69" s="309">
        <f t="shared" si="3"/>
        <v>0</v>
      </c>
      <c r="Q69" s="68">
        <f>IFERROR(N69*'As-Filed Schedule 1'!$E$103,0)</f>
        <v>0</v>
      </c>
      <c r="R69" s="68">
        <f>IFERROR(P69*'Adjusted Schedule 1'!$E$104,0)</f>
        <v>0</v>
      </c>
      <c r="S69" s="68">
        <f t="shared" si="4"/>
        <v>0</v>
      </c>
      <c r="T69" s="310">
        <f t="shared" si="5"/>
        <v>0</v>
      </c>
      <c r="V69" s="120">
        <f>'As-Filed Schedule 2K'!N69</f>
        <v>0</v>
      </c>
      <c r="W69" s="313">
        <f>SUMIFS(Adjustments!$G:$G,Adjustments!$H:$H,"2K",Adjustments!$I:$I,'Schedule 2K Adjustments'!$V$12,Adjustments!$J:$J,'Schedule 2K Adjustments'!$A69)</f>
        <v>0</v>
      </c>
      <c r="X69" s="309">
        <f t="shared" si="6"/>
        <v>0</v>
      </c>
      <c r="Y69" s="120">
        <f>'As-Filed Schedule 2K'!O69</f>
        <v>0</v>
      </c>
      <c r="Z69" s="313">
        <f>SUMIFS(Adjustments!$G:$G,Adjustments!$H:$H,"2K",Adjustments!$I:$I,'Schedule 2K Adjustments'!$Y$12,Adjustments!$J:$J,'Schedule 2K Adjustments'!$A69)</f>
        <v>0</v>
      </c>
      <c r="AA69" s="309">
        <f t="shared" si="7"/>
        <v>0</v>
      </c>
    </row>
    <row r="70" spans="1:27" x14ac:dyDescent="0.35">
      <c r="A70" s="24">
        <v>56</v>
      </c>
      <c r="B70" s="507" t="str">
        <f>IF('As-Filed Schedule 2K'!B70:D70=0,"",'As-Filed Schedule 2K'!B70:D70)</f>
        <v/>
      </c>
      <c r="C70" s="507"/>
      <c r="D70" s="507"/>
      <c r="F70" s="117">
        <f>'As-Filed Schedule 2K'!F70</f>
        <v>0</v>
      </c>
      <c r="G70" s="313">
        <f>SUMIFS(Adjustments!$G:$G,Adjustments!$H:$H,"2K",Adjustments!$I:$I,'Schedule 2K Adjustments'!$F$12,Adjustments!$J:$J,'Schedule 2K Adjustments'!$A70)</f>
        <v>0</v>
      </c>
      <c r="H70" s="309">
        <f t="shared" si="0"/>
        <v>0</v>
      </c>
      <c r="I70" s="68">
        <f>IFERROR(F70*'As-Filed Schedule 1'!$E$103,0)</f>
        <v>0</v>
      </c>
      <c r="J70" s="310">
        <f>IFERROR(H70*'Adjusted Schedule 1'!$E$104,0)</f>
        <v>0</v>
      </c>
      <c r="K70" s="68">
        <f t="shared" si="1"/>
        <v>0</v>
      </c>
      <c r="L70" s="310">
        <f t="shared" si="2"/>
        <v>0</v>
      </c>
      <c r="N70" s="117">
        <f>'As-Filed Schedule 2K'!J70</f>
        <v>0</v>
      </c>
      <c r="O70" s="313">
        <f>SUMIFS(Adjustments!$G:$G,Adjustments!$H:$H,"2K",Adjustments!$I:$I,'Schedule 2K Adjustments'!$N$12,Adjustments!$J:$J,'Schedule 2K Adjustments'!$A70)</f>
        <v>0</v>
      </c>
      <c r="P70" s="309">
        <f t="shared" si="3"/>
        <v>0</v>
      </c>
      <c r="Q70" s="68">
        <f>IFERROR(N70*'As-Filed Schedule 1'!$E$103,0)</f>
        <v>0</v>
      </c>
      <c r="R70" s="68">
        <f>IFERROR(P70*'Adjusted Schedule 1'!$E$104,0)</f>
        <v>0</v>
      </c>
      <c r="S70" s="68">
        <f t="shared" si="4"/>
        <v>0</v>
      </c>
      <c r="T70" s="310">
        <f t="shared" si="5"/>
        <v>0</v>
      </c>
      <c r="V70" s="120">
        <f>'As-Filed Schedule 2K'!N70</f>
        <v>0</v>
      </c>
      <c r="W70" s="313">
        <f>SUMIFS(Adjustments!$G:$G,Adjustments!$H:$H,"2K",Adjustments!$I:$I,'Schedule 2K Adjustments'!$V$12,Adjustments!$J:$J,'Schedule 2K Adjustments'!$A70)</f>
        <v>0</v>
      </c>
      <c r="X70" s="309">
        <f t="shared" si="6"/>
        <v>0</v>
      </c>
      <c r="Y70" s="120">
        <f>'As-Filed Schedule 2K'!O70</f>
        <v>0</v>
      </c>
      <c r="Z70" s="313">
        <f>SUMIFS(Adjustments!$G:$G,Adjustments!$H:$H,"2K",Adjustments!$I:$I,'Schedule 2K Adjustments'!$Y$12,Adjustments!$J:$J,'Schedule 2K Adjustments'!$A70)</f>
        <v>0</v>
      </c>
      <c r="AA70" s="309">
        <f t="shared" si="7"/>
        <v>0</v>
      </c>
    </row>
    <row r="71" spans="1:27" x14ac:dyDescent="0.35">
      <c r="A71" s="24">
        <v>57</v>
      </c>
      <c r="B71" s="507" t="str">
        <f>IF('As-Filed Schedule 2K'!B71:D71=0,"",'As-Filed Schedule 2K'!B71:D71)</f>
        <v/>
      </c>
      <c r="C71" s="507"/>
      <c r="D71" s="507"/>
      <c r="F71" s="117">
        <f>'As-Filed Schedule 2K'!F71</f>
        <v>0</v>
      </c>
      <c r="G71" s="313">
        <f>SUMIFS(Adjustments!$G:$G,Adjustments!$H:$H,"2K",Adjustments!$I:$I,'Schedule 2K Adjustments'!$F$12,Adjustments!$J:$J,'Schedule 2K Adjustments'!$A71)</f>
        <v>0</v>
      </c>
      <c r="H71" s="309">
        <f t="shared" si="0"/>
        <v>0</v>
      </c>
      <c r="I71" s="68">
        <f>IFERROR(F71*'As-Filed Schedule 1'!$E$103,0)</f>
        <v>0</v>
      </c>
      <c r="J71" s="310">
        <f>IFERROR(H71*'Adjusted Schedule 1'!$E$104,0)</f>
        <v>0</v>
      </c>
      <c r="K71" s="68">
        <f t="shared" si="1"/>
        <v>0</v>
      </c>
      <c r="L71" s="310">
        <f t="shared" si="2"/>
        <v>0</v>
      </c>
      <c r="N71" s="117">
        <f>'As-Filed Schedule 2K'!J71</f>
        <v>0</v>
      </c>
      <c r="O71" s="313">
        <f>SUMIFS(Adjustments!$G:$G,Adjustments!$H:$H,"2K",Adjustments!$I:$I,'Schedule 2K Adjustments'!$N$12,Adjustments!$J:$J,'Schedule 2K Adjustments'!$A71)</f>
        <v>0</v>
      </c>
      <c r="P71" s="309">
        <f t="shared" si="3"/>
        <v>0</v>
      </c>
      <c r="Q71" s="68">
        <f>IFERROR(N71*'As-Filed Schedule 1'!$E$103,0)</f>
        <v>0</v>
      </c>
      <c r="R71" s="68">
        <f>IFERROR(P71*'Adjusted Schedule 1'!$E$104,0)</f>
        <v>0</v>
      </c>
      <c r="S71" s="68">
        <f t="shared" si="4"/>
        <v>0</v>
      </c>
      <c r="T71" s="310">
        <f t="shared" si="5"/>
        <v>0</v>
      </c>
      <c r="V71" s="120">
        <f>'As-Filed Schedule 2K'!N71</f>
        <v>0</v>
      </c>
      <c r="W71" s="313">
        <f>SUMIFS(Adjustments!$G:$G,Adjustments!$H:$H,"2K",Adjustments!$I:$I,'Schedule 2K Adjustments'!$V$12,Adjustments!$J:$J,'Schedule 2K Adjustments'!$A71)</f>
        <v>0</v>
      </c>
      <c r="X71" s="309">
        <f t="shared" si="6"/>
        <v>0</v>
      </c>
      <c r="Y71" s="120">
        <f>'As-Filed Schedule 2K'!O71</f>
        <v>0</v>
      </c>
      <c r="Z71" s="313">
        <f>SUMIFS(Adjustments!$G:$G,Adjustments!$H:$H,"2K",Adjustments!$I:$I,'Schedule 2K Adjustments'!$Y$12,Adjustments!$J:$J,'Schedule 2K Adjustments'!$A71)</f>
        <v>0</v>
      </c>
      <c r="AA71" s="309">
        <f t="shared" si="7"/>
        <v>0</v>
      </c>
    </row>
    <row r="72" spans="1:27" x14ac:dyDescent="0.35">
      <c r="A72" s="24">
        <v>58</v>
      </c>
      <c r="B72" s="507" t="str">
        <f>IF('As-Filed Schedule 2K'!B72:D72=0,"",'As-Filed Schedule 2K'!B72:D72)</f>
        <v/>
      </c>
      <c r="C72" s="507"/>
      <c r="D72" s="507"/>
      <c r="F72" s="117">
        <f>'As-Filed Schedule 2K'!F72</f>
        <v>0</v>
      </c>
      <c r="G72" s="313">
        <f>SUMIFS(Adjustments!$G:$G,Adjustments!$H:$H,"2K",Adjustments!$I:$I,'Schedule 2K Adjustments'!$F$12,Adjustments!$J:$J,'Schedule 2K Adjustments'!$A72)</f>
        <v>0</v>
      </c>
      <c r="H72" s="309">
        <f t="shared" si="0"/>
        <v>0</v>
      </c>
      <c r="I72" s="68">
        <f>IFERROR(F72*'As-Filed Schedule 1'!$E$103,0)</f>
        <v>0</v>
      </c>
      <c r="J72" s="310">
        <f>IFERROR(H72*'Adjusted Schedule 1'!$E$104,0)</f>
        <v>0</v>
      </c>
      <c r="K72" s="68">
        <f t="shared" si="1"/>
        <v>0</v>
      </c>
      <c r="L72" s="310">
        <f t="shared" si="2"/>
        <v>0</v>
      </c>
      <c r="N72" s="117">
        <f>'As-Filed Schedule 2K'!J72</f>
        <v>0</v>
      </c>
      <c r="O72" s="313">
        <f>SUMIFS(Adjustments!$G:$G,Adjustments!$H:$H,"2K",Adjustments!$I:$I,'Schedule 2K Adjustments'!$N$12,Adjustments!$J:$J,'Schedule 2K Adjustments'!$A72)</f>
        <v>0</v>
      </c>
      <c r="P72" s="309">
        <f t="shared" si="3"/>
        <v>0</v>
      </c>
      <c r="Q72" s="68">
        <f>IFERROR(N72*'As-Filed Schedule 1'!$E$103,0)</f>
        <v>0</v>
      </c>
      <c r="R72" s="68">
        <f>IFERROR(P72*'Adjusted Schedule 1'!$E$104,0)</f>
        <v>0</v>
      </c>
      <c r="S72" s="68">
        <f t="shared" si="4"/>
        <v>0</v>
      </c>
      <c r="T72" s="310">
        <f t="shared" si="5"/>
        <v>0</v>
      </c>
      <c r="V72" s="120">
        <f>'As-Filed Schedule 2K'!N72</f>
        <v>0</v>
      </c>
      <c r="W72" s="313">
        <f>SUMIFS(Adjustments!$G:$G,Adjustments!$H:$H,"2K",Adjustments!$I:$I,'Schedule 2K Adjustments'!$V$12,Adjustments!$J:$J,'Schedule 2K Adjustments'!$A72)</f>
        <v>0</v>
      </c>
      <c r="X72" s="309">
        <f t="shared" si="6"/>
        <v>0</v>
      </c>
      <c r="Y72" s="120">
        <f>'As-Filed Schedule 2K'!O72</f>
        <v>0</v>
      </c>
      <c r="Z72" s="313">
        <f>SUMIFS(Adjustments!$G:$G,Adjustments!$H:$H,"2K",Adjustments!$I:$I,'Schedule 2K Adjustments'!$Y$12,Adjustments!$J:$J,'Schedule 2K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846</v>
      </c>
      <c r="B3" s="488"/>
      <c r="C3" s="488"/>
      <c r="D3" s="488"/>
      <c r="E3" s="488"/>
      <c r="F3" s="488"/>
      <c r="G3" s="488"/>
      <c r="H3" s="488"/>
      <c r="I3" s="488"/>
      <c r="J3" s="488"/>
      <c r="K3" s="488"/>
      <c r="L3" s="321"/>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831</v>
      </c>
      <c r="C8" s="1"/>
      <c r="F8" s="119" t="str">
        <f>'As-Filed Schedule 2L'!F8</f>
        <v>Yes/No</v>
      </c>
      <c r="G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2L'!B15:D15=0,"",'As-Filed Schedule 2L'!B15:D15)</f>
        <v/>
      </c>
      <c r="C15" s="507"/>
      <c r="D15" s="507"/>
      <c r="F15" s="117">
        <f>'As-Filed Schedule 2L'!F15</f>
        <v>0</v>
      </c>
      <c r="G15" s="313">
        <f>SUMIFS(Adjustments!$G:$G,Adjustments!$H:$H,"2L",Adjustments!$I:$I,'Schedule 2L Adjustments'!$F$12,Adjustments!$J:$J,'Schedule 2L Adjustments'!$A15)</f>
        <v>0</v>
      </c>
      <c r="H15" s="309">
        <f>SUM(F15:G15)</f>
        <v>0</v>
      </c>
      <c r="I15" s="68">
        <f>IFERROR(F15*'As-Filed Schedule 1'!$E$103,0)</f>
        <v>0</v>
      </c>
      <c r="J15" s="310">
        <f>IFERROR(H15*'Adjusted Schedule 1'!$E$104,0)</f>
        <v>0</v>
      </c>
      <c r="K15" s="68">
        <f>SUM(F15,I15)</f>
        <v>0</v>
      </c>
      <c r="L15" s="310">
        <f>SUM(H15,J15)</f>
        <v>0</v>
      </c>
      <c r="N15" s="117">
        <f>'As-Filed Schedule 2L'!J15</f>
        <v>0</v>
      </c>
      <c r="O15" s="313">
        <f>SUMIFS(Adjustments!$G:$G,Adjustments!$H:$H,"2L",Adjustments!$I:$I,'Schedule 2L Adjustments'!$N$12,Adjustments!$J:$J,'Schedule 2L Adjustments'!$A15)</f>
        <v>0</v>
      </c>
      <c r="P15" s="309">
        <f>SUM(N15:O15)</f>
        <v>0</v>
      </c>
      <c r="Q15" s="68">
        <f>IFERROR(N15*'As-Filed Schedule 1'!$E$103,0)</f>
        <v>0</v>
      </c>
      <c r="R15" s="68">
        <f>IFERROR(P15*'Adjusted Schedule 1'!$E$104,0)</f>
        <v>0</v>
      </c>
      <c r="S15" s="68">
        <f>SUM(N15,Q15)</f>
        <v>0</v>
      </c>
      <c r="T15" s="310">
        <f>SUM(P15,R15)</f>
        <v>0</v>
      </c>
      <c r="V15" s="120">
        <f>'As-Filed Schedule 2L'!N15</f>
        <v>0</v>
      </c>
      <c r="W15" s="313">
        <f>SUMIFS(Adjustments!$G:$G,Adjustments!$H:$H,"2L",Adjustments!$I:$I,'Schedule 2L Adjustments'!$V$12,Adjustments!$J:$J,'Schedule 2L Adjustments'!$A15)</f>
        <v>0</v>
      </c>
      <c r="X15" s="309">
        <f>SUM(V15:W15)</f>
        <v>0</v>
      </c>
      <c r="Y15" s="120">
        <f>'As-Filed Schedule 2L'!O15</f>
        <v>0</v>
      </c>
      <c r="Z15" s="313">
        <f>SUMIFS(Adjustments!$G:$G,Adjustments!$H:$H,"2L",Adjustments!$I:$I,'Schedule 2L Adjustments'!$Y$12,Adjustments!$J:$J,'Schedule 2L Adjustments'!$A15)</f>
        <v>0</v>
      </c>
      <c r="AA15" s="309">
        <f>SUM(Y15:Z15)</f>
        <v>0</v>
      </c>
    </row>
    <row r="16" spans="1:27" x14ac:dyDescent="0.35">
      <c r="A16" s="24">
        <v>2</v>
      </c>
      <c r="B16" s="507" t="str">
        <f>IF('As-Filed Schedule 2L'!B16:D16=0,"",'As-Filed Schedule 2L'!B16:D16)</f>
        <v/>
      </c>
      <c r="C16" s="507"/>
      <c r="D16" s="507"/>
      <c r="F16" s="117">
        <f>'As-Filed Schedule 2L'!F16</f>
        <v>0</v>
      </c>
      <c r="G16" s="313">
        <f>SUMIFS(Adjustments!$G:$G,Adjustments!$H:$H,"2L",Adjustments!$I:$I,'Schedule 2L Adjustments'!$F$12,Adjustments!$J:$J,'Schedule 2L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2L'!J16</f>
        <v>0</v>
      </c>
      <c r="O16" s="313">
        <f>SUMIFS(Adjustments!$G:$G,Adjustments!$H:$H,"2L",Adjustments!$I:$I,'Schedule 2L Adjustments'!$N$12,Adjustments!$J:$J,'Schedule 2L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2L'!N16</f>
        <v>0</v>
      </c>
      <c r="W16" s="313">
        <f>SUMIFS(Adjustments!$G:$G,Adjustments!$H:$H,"2L",Adjustments!$I:$I,'Schedule 2L Adjustments'!$V$12,Adjustments!$J:$J,'Schedule 2L Adjustments'!$A16)</f>
        <v>0</v>
      </c>
      <c r="X16" s="309">
        <f t="shared" ref="X16:X72" si="6">SUM(V16:W16)</f>
        <v>0</v>
      </c>
      <c r="Y16" s="120">
        <f>'As-Filed Schedule 2L'!O16</f>
        <v>0</v>
      </c>
      <c r="Z16" s="313">
        <f>SUMIFS(Adjustments!$G:$G,Adjustments!$H:$H,"2L",Adjustments!$I:$I,'Schedule 2L Adjustments'!$Y$12,Adjustments!$J:$J,'Schedule 2L Adjustments'!$A16)</f>
        <v>0</v>
      </c>
      <c r="AA16" s="309">
        <f t="shared" ref="AA16:AA72" si="7">SUM(Y16:Z16)</f>
        <v>0</v>
      </c>
    </row>
    <row r="17" spans="1:27" x14ac:dyDescent="0.35">
      <c r="A17" s="24">
        <v>3</v>
      </c>
      <c r="B17" s="507" t="str">
        <f>IF('As-Filed Schedule 2L'!B17:D17=0,"",'As-Filed Schedule 2L'!B17:D17)</f>
        <v/>
      </c>
      <c r="C17" s="507"/>
      <c r="D17" s="507"/>
      <c r="F17" s="117">
        <f>'As-Filed Schedule 2L'!F17</f>
        <v>0</v>
      </c>
      <c r="G17" s="313">
        <f>SUMIFS(Adjustments!$G:$G,Adjustments!$H:$H,"2L",Adjustments!$I:$I,'Schedule 2L Adjustments'!$F$12,Adjustments!$J:$J,'Schedule 2L Adjustments'!$A17)</f>
        <v>0</v>
      </c>
      <c r="H17" s="309">
        <f t="shared" si="0"/>
        <v>0</v>
      </c>
      <c r="I17" s="68">
        <f>IFERROR(F17*'As-Filed Schedule 1'!$E$103,0)</f>
        <v>0</v>
      </c>
      <c r="J17" s="310">
        <f>IFERROR(H17*'Adjusted Schedule 1'!$E$104,0)</f>
        <v>0</v>
      </c>
      <c r="K17" s="68">
        <f t="shared" si="1"/>
        <v>0</v>
      </c>
      <c r="L17" s="310">
        <f t="shared" si="2"/>
        <v>0</v>
      </c>
      <c r="N17" s="117">
        <f>'As-Filed Schedule 2L'!J17</f>
        <v>0</v>
      </c>
      <c r="O17" s="313">
        <f>SUMIFS(Adjustments!$G:$G,Adjustments!$H:$H,"2L",Adjustments!$I:$I,'Schedule 2L Adjustments'!$N$12,Adjustments!$J:$J,'Schedule 2L Adjustments'!$A17)</f>
        <v>0</v>
      </c>
      <c r="P17" s="309">
        <f t="shared" si="3"/>
        <v>0</v>
      </c>
      <c r="Q17" s="68">
        <f>IFERROR(N17*'As-Filed Schedule 1'!$E$103,0)</f>
        <v>0</v>
      </c>
      <c r="R17" s="68">
        <f>IFERROR(P17*'Adjusted Schedule 1'!$E$104,0)</f>
        <v>0</v>
      </c>
      <c r="S17" s="68">
        <f t="shared" si="4"/>
        <v>0</v>
      </c>
      <c r="T17" s="310">
        <f t="shared" si="5"/>
        <v>0</v>
      </c>
      <c r="V17" s="120">
        <f>'As-Filed Schedule 2L'!N17</f>
        <v>0</v>
      </c>
      <c r="W17" s="313">
        <f>SUMIFS(Adjustments!$G:$G,Adjustments!$H:$H,"2L",Adjustments!$I:$I,'Schedule 2L Adjustments'!$V$12,Adjustments!$J:$J,'Schedule 2L Adjustments'!$A17)</f>
        <v>0</v>
      </c>
      <c r="X17" s="309">
        <f t="shared" si="6"/>
        <v>0</v>
      </c>
      <c r="Y17" s="120">
        <f>'As-Filed Schedule 2L'!O17</f>
        <v>0</v>
      </c>
      <c r="Z17" s="313">
        <f>SUMIFS(Adjustments!$G:$G,Adjustments!$H:$H,"2L",Adjustments!$I:$I,'Schedule 2L Adjustments'!$Y$12,Adjustments!$J:$J,'Schedule 2L Adjustments'!$A17)</f>
        <v>0</v>
      </c>
      <c r="AA17" s="309">
        <f t="shared" si="7"/>
        <v>0</v>
      </c>
    </row>
    <row r="18" spans="1:27" x14ac:dyDescent="0.35">
      <c r="A18" s="24">
        <v>4</v>
      </c>
      <c r="B18" s="507" t="str">
        <f>IF('As-Filed Schedule 2L'!B18:D18=0,"",'As-Filed Schedule 2L'!B18:D18)</f>
        <v/>
      </c>
      <c r="C18" s="507"/>
      <c r="D18" s="507"/>
      <c r="F18" s="117">
        <f>'As-Filed Schedule 2L'!F18</f>
        <v>0</v>
      </c>
      <c r="G18" s="313">
        <f>SUMIFS(Adjustments!$G:$G,Adjustments!$H:$H,"2L",Adjustments!$I:$I,'Schedule 2L Adjustments'!$F$12,Adjustments!$J:$J,'Schedule 2L Adjustments'!$A18)</f>
        <v>0</v>
      </c>
      <c r="H18" s="309">
        <f t="shared" si="0"/>
        <v>0</v>
      </c>
      <c r="I18" s="68">
        <f>IFERROR(F18*'As-Filed Schedule 1'!$E$103,0)</f>
        <v>0</v>
      </c>
      <c r="J18" s="310">
        <f>IFERROR(H18*'Adjusted Schedule 1'!$E$104,0)</f>
        <v>0</v>
      </c>
      <c r="K18" s="68">
        <f>SUM(F18,I18)</f>
        <v>0</v>
      </c>
      <c r="L18" s="310">
        <f>SUM(H18,J18)</f>
        <v>0</v>
      </c>
      <c r="N18" s="117">
        <f>'As-Filed Schedule 2L'!J18</f>
        <v>0</v>
      </c>
      <c r="O18" s="313">
        <f>SUMIFS(Adjustments!$G:$G,Adjustments!$H:$H,"2L",Adjustments!$I:$I,'Schedule 2L Adjustments'!$N$12,Adjustments!$J:$J,'Schedule 2L Adjustments'!$A18)</f>
        <v>0</v>
      </c>
      <c r="P18" s="309">
        <f t="shared" si="3"/>
        <v>0</v>
      </c>
      <c r="Q18" s="68">
        <f>IFERROR(N18*'As-Filed Schedule 1'!$E$103,0)</f>
        <v>0</v>
      </c>
      <c r="R18" s="68">
        <f>IFERROR(P18*'Adjusted Schedule 1'!$E$104,0)</f>
        <v>0</v>
      </c>
      <c r="S18" s="68">
        <f t="shared" si="4"/>
        <v>0</v>
      </c>
      <c r="T18" s="310">
        <f t="shared" si="5"/>
        <v>0</v>
      </c>
      <c r="V18" s="120">
        <f>'As-Filed Schedule 2L'!N18</f>
        <v>0</v>
      </c>
      <c r="W18" s="313">
        <f>SUMIFS(Adjustments!$G:$G,Adjustments!$H:$H,"2L",Adjustments!$I:$I,'Schedule 2L Adjustments'!$V$12,Adjustments!$J:$J,'Schedule 2L Adjustments'!$A18)</f>
        <v>0</v>
      </c>
      <c r="X18" s="309">
        <f t="shared" si="6"/>
        <v>0</v>
      </c>
      <c r="Y18" s="120">
        <f>'As-Filed Schedule 2L'!O18</f>
        <v>0</v>
      </c>
      <c r="Z18" s="313">
        <f>SUMIFS(Adjustments!$G:$G,Adjustments!$H:$H,"2L",Adjustments!$I:$I,'Schedule 2L Adjustments'!$Y$12,Adjustments!$J:$J,'Schedule 2L Adjustments'!$A18)</f>
        <v>0</v>
      </c>
      <c r="AA18" s="309">
        <f t="shared" si="7"/>
        <v>0</v>
      </c>
    </row>
    <row r="19" spans="1:27" x14ac:dyDescent="0.35">
      <c r="A19" s="24">
        <v>5</v>
      </c>
      <c r="B19" s="507" t="str">
        <f>IF('As-Filed Schedule 2L'!B19:D19=0,"",'As-Filed Schedule 2L'!B19:D19)</f>
        <v/>
      </c>
      <c r="C19" s="507"/>
      <c r="D19" s="507"/>
      <c r="F19" s="117">
        <f>'As-Filed Schedule 2L'!F19</f>
        <v>0</v>
      </c>
      <c r="G19" s="313">
        <f>SUMIFS(Adjustments!$G:$G,Adjustments!$H:$H,"2L",Adjustments!$I:$I,'Schedule 2L Adjustments'!$F$12,Adjustments!$J:$J,'Schedule 2L Adjustments'!$A19)</f>
        <v>0</v>
      </c>
      <c r="H19" s="309">
        <f t="shared" si="0"/>
        <v>0</v>
      </c>
      <c r="I19" s="68">
        <f>IFERROR(F19*'As-Filed Schedule 1'!$E$103,0)</f>
        <v>0</v>
      </c>
      <c r="J19" s="310">
        <f>IFERROR(H19*'Adjusted Schedule 1'!$E$104,0)</f>
        <v>0</v>
      </c>
      <c r="K19" s="68">
        <f t="shared" si="1"/>
        <v>0</v>
      </c>
      <c r="L19" s="310">
        <f>SUM(H19,J19)</f>
        <v>0</v>
      </c>
      <c r="N19" s="117">
        <f>'As-Filed Schedule 2L'!J19</f>
        <v>0</v>
      </c>
      <c r="O19" s="313">
        <f>SUMIFS(Adjustments!$G:$G,Adjustments!$H:$H,"2L",Adjustments!$I:$I,'Schedule 2L Adjustments'!$N$12,Adjustments!$J:$J,'Schedule 2L Adjustments'!$A19)</f>
        <v>0</v>
      </c>
      <c r="P19" s="309">
        <f t="shared" si="3"/>
        <v>0</v>
      </c>
      <c r="Q19" s="68">
        <f>IFERROR(N19*'As-Filed Schedule 1'!$E$103,0)</f>
        <v>0</v>
      </c>
      <c r="R19" s="68">
        <f>IFERROR(P19*'Adjusted Schedule 1'!$E$104,0)</f>
        <v>0</v>
      </c>
      <c r="S19" s="68">
        <f t="shared" si="4"/>
        <v>0</v>
      </c>
      <c r="T19" s="310">
        <f t="shared" si="5"/>
        <v>0</v>
      </c>
      <c r="V19" s="120">
        <f>'As-Filed Schedule 2L'!N19</f>
        <v>0</v>
      </c>
      <c r="W19" s="313">
        <f>SUMIFS(Adjustments!$G:$G,Adjustments!$H:$H,"2L",Adjustments!$I:$I,'Schedule 2L Adjustments'!$V$12,Adjustments!$J:$J,'Schedule 2L Adjustments'!$A19)</f>
        <v>0</v>
      </c>
      <c r="X19" s="309">
        <f t="shared" si="6"/>
        <v>0</v>
      </c>
      <c r="Y19" s="120">
        <f>'As-Filed Schedule 2L'!O19</f>
        <v>0</v>
      </c>
      <c r="Z19" s="313">
        <f>SUMIFS(Adjustments!$G:$G,Adjustments!$H:$H,"2L",Adjustments!$I:$I,'Schedule 2L Adjustments'!$Y$12,Adjustments!$J:$J,'Schedule 2L Adjustments'!$A19)</f>
        <v>0</v>
      </c>
      <c r="AA19" s="309">
        <f t="shared" si="7"/>
        <v>0</v>
      </c>
    </row>
    <row r="20" spans="1:27" x14ac:dyDescent="0.35">
      <c r="A20" s="24">
        <v>6</v>
      </c>
      <c r="B20" s="507" t="str">
        <f>IF('As-Filed Schedule 2L'!B20:D20=0,"",'As-Filed Schedule 2L'!B20:D20)</f>
        <v/>
      </c>
      <c r="C20" s="507"/>
      <c r="D20" s="507"/>
      <c r="F20" s="117">
        <f>'As-Filed Schedule 2L'!F20</f>
        <v>0</v>
      </c>
      <c r="G20" s="313">
        <f>SUMIFS(Adjustments!$G:$G,Adjustments!$H:$H,"2L",Adjustments!$I:$I,'Schedule 2L Adjustments'!$F$12,Adjustments!$J:$J,'Schedule 2L Adjustments'!$A20)</f>
        <v>0</v>
      </c>
      <c r="H20" s="309">
        <f t="shared" si="0"/>
        <v>0</v>
      </c>
      <c r="I20" s="68">
        <f>IFERROR(F20*'As-Filed Schedule 1'!$E$103,0)</f>
        <v>0</v>
      </c>
      <c r="J20" s="310">
        <f>IFERROR(H20*'Adjusted Schedule 1'!$E$104,0)</f>
        <v>0</v>
      </c>
      <c r="K20" s="68">
        <f>SUM(F20,I20)</f>
        <v>0</v>
      </c>
      <c r="L20" s="310">
        <f t="shared" si="2"/>
        <v>0</v>
      </c>
      <c r="N20" s="117">
        <f>'As-Filed Schedule 2L'!J20</f>
        <v>0</v>
      </c>
      <c r="O20" s="313">
        <f>SUMIFS(Adjustments!$G:$G,Adjustments!$H:$H,"2L",Adjustments!$I:$I,'Schedule 2L Adjustments'!$N$12,Adjustments!$J:$J,'Schedule 2L Adjustments'!$A20)</f>
        <v>0</v>
      </c>
      <c r="P20" s="309">
        <f t="shared" si="3"/>
        <v>0</v>
      </c>
      <c r="Q20" s="68">
        <f>IFERROR(N20*'As-Filed Schedule 1'!$E$103,0)</f>
        <v>0</v>
      </c>
      <c r="R20" s="68">
        <f>IFERROR(P20*'Adjusted Schedule 1'!$E$104,0)</f>
        <v>0</v>
      </c>
      <c r="S20" s="68">
        <f t="shared" si="4"/>
        <v>0</v>
      </c>
      <c r="T20" s="310">
        <f t="shared" si="5"/>
        <v>0</v>
      </c>
      <c r="V20" s="120">
        <f>'As-Filed Schedule 2L'!N20</f>
        <v>0</v>
      </c>
      <c r="W20" s="313">
        <f>SUMIFS(Adjustments!$G:$G,Adjustments!$H:$H,"2L",Adjustments!$I:$I,'Schedule 2L Adjustments'!$V$12,Adjustments!$J:$J,'Schedule 2L Adjustments'!$A20)</f>
        <v>0</v>
      </c>
      <c r="X20" s="309">
        <f t="shared" si="6"/>
        <v>0</v>
      </c>
      <c r="Y20" s="120">
        <f>'As-Filed Schedule 2L'!O20</f>
        <v>0</v>
      </c>
      <c r="Z20" s="313">
        <f>SUMIFS(Adjustments!$G:$G,Adjustments!$H:$H,"2L",Adjustments!$I:$I,'Schedule 2L Adjustments'!$Y$12,Adjustments!$J:$J,'Schedule 2L Adjustments'!$A20)</f>
        <v>0</v>
      </c>
      <c r="AA20" s="309">
        <f t="shared" si="7"/>
        <v>0</v>
      </c>
    </row>
    <row r="21" spans="1:27" x14ac:dyDescent="0.35">
      <c r="A21" s="24">
        <v>7</v>
      </c>
      <c r="B21" s="507" t="str">
        <f>IF('As-Filed Schedule 2L'!B21:D21=0,"",'As-Filed Schedule 2L'!B21:D21)</f>
        <v/>
      </c>
      <c r="C21" s="507"/>
      <c r="D21" s="507"/>
      <c r="F21" s="117">
        <f>'As-Filed Schedule 2L'!F21</f>
        <v>0</v>
      </c>
      <c r="G21" s="313">
        <f>SUMIFS(Adjustments!$G:$G,Adjustments!$H:$H,"2L",Adjustments!$I:$I,'Schedule 2L Adjustments'!$F$12,Adjustments!$J:$J,'Schedule 2L Adjustments'!$A21)</f>
        <v>0</v>
      </c>
      <c r="H21" s="309">
        <f t="shared" si="0"/>
        <v>0</v>
      </c>
      <c r="I21" s="68">
        <f>IFERROR(F21*'As-Filed Schedule 1'!$E$103,0)</f>
        <v>0</v>
      </c>
      <c r="J21" s="310">
        <f>IFERROR(H21*'Adjusted Schedule 1'!$E$104,0)</f>
        <v>0</v>
      </c>
      <c r="K21" s="68">
        <f t="shared" si="1"/>
        <v>0</v>
      </c>
      <c r="L21" s="310">
        <f t="shared" si="2"/>
        <v>0</v>
      </c>
      <c r="N21" s="117">
        <f>'As-Filed Schedule 2L'!J21</f>
        <v>0</v>
      </c>
      <c r="O21" s="313">
        <f>SUMIFS(Adjustments!$G:$G,Adjustments!$H:$H,"2L",Adjustments!$I:$I,'Schedule 2L Adjustments'!$N$12,Adjustments!$J:$J,'Schedule 2L Adjustments'!$A21)</f>
        <v>0</v>
      </c>
      <c r="P21" s="309">
        <f t="shared" si="3"/>
        <v>0</v>
      </c>
      <c r="Q21" s="68">
        <f>IFERROR(N21*'As-Filed Schedule 1'!$E$103,0)</f>
        <v>0</v>
      </c>
      <c r="R21" s="68">
        <f>IFERROR(P21*'Adjusted Schedule 1'!$E$104,0)</f>
        <v>0</v>
      </c>
      <c r="S21" s="68">
        <f>SUM(N21,Q21)</f>
        <v>0</v>
      </c>
      <c r="T21" s="310">
        <f>SUM(P21,R21)</f>
        <v>0</v>
      </c>
      <c r="V21" s="120">
        <f>'As-Filed Schedule 2L'!N21</f>
        <v>0</v>
      </c>
      <c r="W21" s="313">
        <f>SUMIFS(Adjustments!$G:$G,Adjustments!$H:$H,"2L",Adjustments!$I:$I,'Schedule 2L Adjustments'!$V$12,Adjustments!$J:$J,'Schedule 2L Adjustments'!$A21)</f>
        <v>0</v>
      </c>
      <c r="X21" s="309">
        <f t="shared" si="6"/>
        <v>0</v>
      </c>
      <c r="Y21" s="120">
        <f>'As-Filed Schedule 2L'!O21</f>
        <v>0</v>
      </c>
      <c r="Z21" s="313">
        <f>SUMIFS(Adjustments!$G:$G,Adjustments!$H:$H,"2L",Adjustments!$I:$I,'Schedule 2L Adjustments'!$Y$12,Adjustments!$J:$J,'Schedule 2L Adjustments'!$A21)</f>
        <v>0</v>
      </c>
      <c r="AA21" s="309">
        <f t="shared" si="7"/>
        <v>0</v>
      </c>
    </row>
    <row r="22" spans="1:27" x14ac:dyDescent="0.35">
      <c r="A22" s="24">
        <v>8</v>
      </c>
      <c r="B22" s="507" t="str">
        <f>IF('As-Filed Schedule 2L'!B22:D22=0,"",'As-Filed Schedule 2L'!B22:D22)</f>
        <v/>
      </c>
      <c r="C22" s="507"/>
      <c r="D22" s="507"/>
      <c r="F22" s="117">
        <f>'As-Filed Schedule 2L'!F22</f>
        <v>0</v>
      </c>
      <c r="G22" s="313">
        <f>SUMIFS(Adjustments!$G:$G,Adjustments!$H:$H,"2L",Adjustments!$I:$I,'Schedule 2L Adjustments'!$F$12,Adjustments!$J:$J,'Schedule 2L Adjustments'!$A22)</f>
        <v>0</v>
      </c>
      <c r="H22" s="309">
        <f t="shared" si="0"/>
        <v>0</v>
      </c>
      <c r="I22" s="68">
        <f>IFERROR(F22*'As-Filed Schedule 1'!$E$103,0)</f>
        <v>0</v>
      </c>
      <c r="J22" s="310">
        <f>IFERROR(H22*'Adjusted Schedule 1'!$E$104,0)</f>
        <v>0</v>
      </c>
      <c r="K22" s="68">
        <f t="shared" si="1"/>
        <v>0</v>
      </c>
      <c r="L22" s="310">
        <f t="shared" si="2"/>
        <v>0</v>
      </c>
      <c r="N22" s="117">
        <f>'As-Filed Schedule 2L'!J22</f>
        <v>0</v>
      </c>
      <c r="O22" s="313">
        <f>SUMIFS(Adjustments!$G:$G,Adjustments!$H:$H,"2L",Adjustments!$I:$I,'Schedule 2L Adjustments'!$N$12,Adjustments!$J:$J,'Schedule 2L Adjustments'!$A22)</f>
        <v>0</v>
      </c>
      <c r="P22" s="309">
        <f t="shared" si="3"/>
        <v>0</v>
      </c>
      <c r="Q22" s="68">
        <f>IFERROR(N22*'As-Filed Schedule 1'!$E$103,0)</f>
        <v>0</v>
      </c>
      <c r="R22" s="68">
        <f>IFERROR(P22*'Adjusted Schedule 1'!$E$104,0)</f>
        <v>0</v>
      </c>
      <c r="S22" s="68">
        <f t="shared" si="4"/>
        <v>0</v>
      </c>
      <c r="T22" s="310">
        <f t="shared" si="5"/>
        <v>0</v>
      </c>
      <c r="V22" s="120">
        <f>'As-Filed Schedule 2L'!N22</f>
        <v>0</v>
      </c>
      <c r="W22" s="313">
        <f>SUMIFS(Adjustments!$G:$G,Adjustments!$H:$H,"2L",Adjustments!$I:$I,'Schedule 2L Adjustments'!$V$12,Adjustments!$J:$J,'Schedule 2L Adjustments'!$A22)</f>
        <v>0</v>
      </c>
      <c r="X22" s="309">
        <f t="shared" si="6"/>
        <v>0</v>
      </c>
      <c r="Y22" s="120">
        <f>'As-Filed Schedule 2L'!O22</f>
        <v>0</v>
      </c>
      <c r="Z22" s="313">
        <f>SUMIFS(Adjustments!$G:$G,Adjustments!$H:$H,"2L",Adjustments!$I:$I,'Schedule 2L Adjustments'!$Y$12,Adjustments!$J:$J,'Schedule 2L Adjustments'!$A22)</f>
        <v>0</v>
      </c>
      <c r="AA22" s="309">
        <f t="shared" si="7"/>
        <v>0</v>
      </c>
    </row>
    <row r="23" spans="1:27" x14ac:dyDescent="0.35">
      <c r="A23" s="24">
        <v>9</v>
      </c>
      <c r="B23" s="507" t="str">
        <f>IF('As-Filed Schedule 2L'!B23:D23=0,"",'As-Filed Schedule 2L'!B23:D23)</f>
        <v/>
      </c>
      <c r="C23" s="507"/>
      <c r="D23" s="507"/>
      <c r="F23" s="117">
        <f>'As-Filed Schedule 2L'!F23</f>
        <v>0</v>
      </c>
      <c r="G23" s="313">
        <f>SUMIFS(Adjustments!$G:$G,Adjustments!$H:$H,"2L",Adjustments!$I:$I,'Schedule 2L Adjustments'!$F$12,Adjustments!$J:$J,'Schedule 2L Adjustments'!$A23)</f>
        <v>0</v>
      </c>
      <c r="H23" s="309">
        <f t="shared" si="0"/>
        <v>0</v>
      </c>
      <c r="I23" s="68">
        <f>IFERROR(F23*'As-Filed Schedule 1'!$E$103,0)</f>
        <v>0</v>
      </c>
      <c r="J23" s="310">
        <f>IFERROR(H23*'Adjusted Schedule 1'!$E$104,0)</f>
        <v>0</v>
      </c>
      <c r="K23" s="68">
        <f t="shared" si="1"/>
        <v>0</v>
      </c>
      <c r="L23" s="310">
        <f t="shared" si="2"/>
        <v>0</v>
      </c>
      <c r="N23" s="117">
        <f>'As-Filed Schedule 2L'!J23</f>
        <v>0</v>
      </c>
      <c r="O23" s="313">
        <f>SUMIFS(Adjustments!$G:$G,Adjustments!$H:$H,"2L",Adjustments!$I:$I,'Schedule 2L Adjustments'!$N$12,Adjustments!$J:$J,'Schedule 2L Adjustments'!$A23)</f>
        <v>0</v>
      </c>
      <c r="P23" s="309">
        <f t="shared" si="3"/>
        <v>0</v>
      </c>
      <c r="Q23" s="68">
        <f>IFERROR(N23*'As-Filed Schedule 1'!$E$103,0)</f>
        <v>0</v>
      </c>
      <c r="R23" s="68">
        <f>IFERROR(P23*'Adjusted Schedule 1'!$E$104,0)</f>
        <v>0</v>
      </c>
      <c r="S23" s="68">
        <f t="shared" si="4"/>
        <v>0</v>
      </c>
      <c r="T23" s="310">
        <f t="shared" si="5"/>
        <v>0</v>
      </c>
      <c r="V23" s="120">
        <f>'As-Filed Schedule 2L'!N23</f>
        <v>0</v>
      </c>
      <c r="W23" s="313">
        <f>SUMIFS(Adjustments!$G:$G,Adjustments!$H:$H,"2L",Adjustments!$I:$I,'Schedule 2L Adjustments'!$V$12,Adjustments!$J:$J,'Schedule 2L Adjustments'!$A23)</f>
        <v>0</v>
      </c>
      <c r="X23" s="309">
        <f t="shared" si="6"/>
        <v>0</v>
      </c>
      <c r="Y23" s="120">
        <f>'As-Filed Schedule 2L'!O23</f>
        <v>0</v>
      </c>
      <c r="Z23" s="313">
        <f>SUMIFS(Adjustments!$G:$G,Adjustments!$H:$H,"2L",Adjustments!$I:$I,'Schedule 2L Adjustments'!$Y$12,Adjustments!$J:$J,'Schedule 2L Adjustments'!$A23)</f>
        <v>0</v>
      </c>
      <c r="AA23" s="309">
        <f t="shared" si="7"/>
        <v>0</v>
      </c>
    </row>
    <row r="24" spans="1:27" x14ac:dyDescent="0.35">
      <c r="A24" s="24">
        <v>10</v>
      </c>
      <c r="B24" s="507" t="str">
        <f>IF('As-Filed Schedule 2L'!B24:D24=0,"",'As-Filed Schedule 2L'!B24:D24)</f>
        <v/>
      </c>
      <c r="C24" s="507"/>
      <c r="D24" s="507"/>
      <c r="F24" s="117">
        <f>'As-Filed Schedule 2L'!F24</f>
        <v>0</v>
      </c>
      <c r="G24" s="313">
        <f>SUMIFS(Adjustments!$G:$G,Adjustments!$H:$H,"2L",Adjustments!$I:$I,'Schedule 2L Adjustments'!$F$12,Adjustments!$J:$J,'Schedule 2L Adjustments'!$A24)</f>
        <v>0</v>
      </c>
      <c r="H24" s="309">
        <f t="shared" si="0"/>
        <v>0</v>
      </c>
      <c r="I24" s="68">
        <f>IFERROR(F24*'As-Filed Schedule 1'!$E$103,0)</f>
        <v>0</v>
      </c>
      <c r="J24" s="310">
        <f>IFERROR(H24*'Adjusted Schedule 1'!$E$104,0)</f>
        <v>0</v>
      </c>
      <c r="K24" s="68">
        <f t="shared" si="1"/>
        <v>0</v>
      </c>
      <c r="L24" s="310">
        <f t="shared" si="2"/>
        <v>0</v>
      </c>
      <c r="N24" s="117">
        <f>'As-Filed Schedule 2L'!J24</f>
        <v>0</v>
      </c>
      <c r="O24" s="313">
        <f>SUMIFS(Adjustments!$G:$G,Adjustments!$H:$H,"2L",Adjustments!$I:$I,'Schedule 2L Adjustments'!$N$12,Adjustments!$J:$J,'Schedule 2L Adjustments'!$A24)</f>
        <v>0</v>
      </c>
      <c r="P24" s="309">
        <f t="shared" si="3"/>
        <v>0</v>
      </c>
      <c r="Q24" s="68">
        <f>IFERROR(N24*'As-Filed Schedule 1'!$E$103,0)</f>
        <v>0</v>
      </c>
      <c r="R24" s="68">
        <f>IFERROR(P24*'Adjusted Schedule 1'!$E$104,0)</f>
        <v>0</v>
      </c>
      <c r="S24" s="68">
        <f t="shared" si="4"/>
        <v>0</v>
      </c>
      <c r="T24" s="310">
        <f t="shared" si="5"/>
        <v>0</v>
      </c>
      <c r="V24" s="120">
        <f>'As-Filed Schedule 2L'!N24</f>
        <v>0</v>
      </c>
      <c r="W24" s="313">
        <f>SUMIFS(Adjustments!$G:$G,Adjustments!$H:$H,"2L",Adjustments!$I:$I,'Schedule 2L Adjustments'!$V$12,Adjustments!$J:$J,'Schedule 2L Adjustments'!$A24)</f>
        <v>0</v>
      </c>
      <c r="X24" s="309">
        <f t="shared" si="6"/>
        <v>0</v>
      </c>
      <c r="Y24" s="120">
        <f>'As-Filed Schedule 2L'!O24</f>
        <v>0</v>
      </c>
      <c r="Z24" s="313">
        <f>SUMIFS(Adjustments!$G:$G,Adjustments!$H:$H,"2L",Adjustments!$I:$I,'Schedule 2L Adjustments'!$Y$12,Adjustments!$J:$J,'Schedule 2L Adjustments'!$A24)</f>
        <v>0</v>
      </c>
      <c r="AA24" s="309">
        <f t="shared" si="7"/>
        <v>0</v>
      </c>
    </row>
    <row r="25" spans="1:27" x14ac:dyDescent="0.35">
      <c r="A25" s="24">
        <v>11</v>
      </c>
      <c r="B25" s="507" t="str">
        <f>IF('As-Filed Schedule 2L'!B25:D25=0,"",'As-Filed Schedule 2L'!B25:D25)</f>
        <v/>
      </c>
      <c r="C25" s="507"/>
      <c r="D25" s="507"/>
      <c r="F25" s="117">
        <f>'As-Filed Schedule 2L'!F25</f>
        <v>0</v>
      </c>
      <c r="G25" s="313">
        <f>SUMIFS(Adjustments!$G:$G,Adjustments!$H:$H,"2L",Adjustments!$I:$I,'Schedule 2L Adjustments'!$F$12,Adjustments!$J:$J,'Schedule 2L Adjustments'!$A25)</f>
        <v>0</v>
      </c>
      <c r="H25" s="309">
        <f t="shared" si="0"/>
        <v>0</v>
      </c>
      <c r="I25" s="68">
        <f>IFERROR(F25*'As-Filed Schedule 1'!$E$103,0)</f>
        <v>0</v>
      </c>
      <c r="J25" s="310">
        <f>IFERROR(H25*'Adjusted Schedule 1'!$E$104,0)</f>
        <v>0</v>
      </c>
      <c r="K25" s="68">
        <f t="shared" si="1"/>
        <v>0</v>
      </c>
      <c r="L25" s="310">
        <f t="shared" si="2"/>
        <v>0</v>
      </c>
      <c r="N25" s="117">
        <f>'As-Filed Schedule 2L'!J25</f>
        <v>0</v>
      </c>
      <c r="O25" s="313">
        <f>SUMIFS(Adjustments!$G:$G,Adjustments!$H:$H,"2L",Adjustments!$I:$I,'Schedule 2L Adjustments'!$N$12,Adjustments!$J:$J,'Schedule 2L Adjustments'!$A25)</f>
        <v>0</v>
      </c>
      <c r="P25" s="309">
        <f t="shared" si="3"/>
        <v>0</v>
      </c>
      <c r="Q25" s="68">
        <f>IFERROR(N25*'As-Filed Schedule 1'!$E$103,0)</f>
        <v>0</v>
      </c>
      <c r="R25" s="68">
        <f>IFERROR(P25*'Adjusted Schedule 1'!$E$104,0)</f>
        <v>0</v>
      </c>
      <c r="S25" s="68">
        <f t="shared" si="4"/>
        <v>0</v>
      </c>
      <c r="T25" s="310">
        <f t="shared" si="5"/>
        <v>0</v>
      </c>
      <c r="V25" s="120">
        <f>'As-Filed Schedule 2L'!N25</f>
        <v>0</v>
      </c>
      <c r="W25" s="313">
        <f>SUMIFS(Adjustments!$G:$G,Adjustments!$H:$H,"2L",Adjustments!$I:$I,'Schedule 2L Adjustments'!$V$12,Adjustments!$J:$J,'Schedule 2L Adjustments'!$A25)</f>
        <v>0</v>
      </c>
      <c r="X25" s="309">
        <f t="shared" si="6"/>
        <v>0</v>
      </c>
      <c r="Y25" s="120">
        <f>'As-Filed Schedule 2L'!O25</f>
        <v>0</v>
      </c>
      <c r="Z25" s="313">
        <f>SUMIFS(Adjustments!$G:$G,Adjustments!$H:$H,"2L",Adjustments!$I:$I,'Schedule 2L Adjustments'!$Y$12,Adjustments!$J:$J,'Schedule 2L Adjustments'!$A25)</f>
        <v>0</v>
      </c>
      <c r="AA25" s="309">
        <f t="shared" si="7"/>
        <v>0</v>
      </c>
    </row>
    <row r="26" spans="1:27" x14ac:dyDescent="0.35">
      <c r="A26" s="24">
        <v>12</v>
      </c>
      <c r="B26" s="507" t="str">
        <f>IF('As-Filed Schedule 2L'!B26:D26=0,"",'As-Filed Schedule 2L'!B26:D26)</f>
        <v/>
      </c>
      <c r="C26" s="507"/>
      <c r="D26" s="507"/>
      <c r="F26" s="117">
        <f>'As-Filed Schedule 2L'!F26</f>
        <v>0</v>
      </c>
      <c r="G26" s="313">
        <f>SUMIFS(Adjustments!$G:$G,Adjustments!$H:$H,"2L",Adjustments!$I:$I,'Schedule 2L Adjustments'!$F$12,Adjustments!$J:$J,'Schedule 2L Adjustments'!$A26)</f>
        <v>0</v>
      </c>
      <c r="H26" s="309">
        <f t="shared" si="0"/>
        <v>0</v>
      </c>
      <c r="I26" s="68">
        <f>IFERROR(F26*'As-Filed Schedule 1'!$E$103,0)</f>
        <v>0</v>
      </c>
      <c r="J26" s="310">
        <f>IFERROR(H26*'Adjusted Schedule 1'!$E$104,0)</f>
        <v>0</v>
      </c>
      <c r="K26" s="68">
        <f t="shared" si="1"/>
        <v>0</v>
      </c>
      <c r="L26" s="310">
        <f t="shared" si="2"/>
        <v>0</v>
      </c>
      <c r="N26" s="117">
        <f>'As-Filed Schedule 2L'!J26</f>
        <v>0</v>
      </c>
      <c r="O26" s="313">
        <f>SUMIFS(Adjustments!$G:$G,Adjustments!$H:$H,"2L",Adjustments!$I:$I,'Schedule 2L Adjustments'!$N$12,Adjustments!$J:$J,'Schedule 2L Adjustments'!$A26)</f>
        <v>0</v>
      </c>
      <c r="P26" s="309">
        <f t="shared" si="3"/>
        <v>0</v>
      </c>
      <c r="Q26" s="68">
        <f>IFERROR(N26*'As-Filed Schedule 1'!$E$103,0)</f>
        <v>0</v>
      </c>
      <c r="R26" s="68">
        <f>IFERROR(P26*'Adjusted Schedule 1'!$E$104,0)</f>
        <v>0</v>
      </c>
      <c r="S26" s="68">
        <f t="shared" si="4"/>
        <v>0</v>
      </c>
      <c r="T26" s="310">
        <f t="shared" si="5"/>
        <v>0</v>
      </c>
      <c r="V26" s="120">
        <f>'As-Filed Schedule 2L'!N26</f>
        <v>0</v>
      </c>
      <c r="W26" s="313">
        <f>SUMIFS(Adjustments!$G:$G,Adjustments!$H:$H,"2L",Adjustments!$I:$I,'Schedule 2L Adjustments'!$V$12,Adjustments!$J:$J,'Schedule 2L Adjustments'!$A26)</f>
        <v>0</v>
      </c>
      <c r="X26" s="309">
        <f t="shared" si="6"/>
        <v>0</v>
      </c>
      <c r="Y26" s="120">
        <f>'As-Filed Schedule 2L'!O26</f>
        <v>0</v>
      </c>
      <c r="Z26" s="313">
        <f>SUMIFS(Adjustments!$G:$G,Adjustments!$H:$H,"2L",Adjustments!$I:$I,'Schedule 2L Adjustments'!$Y$12,Adjustments!$J:$J,'Schedule 2L Adjustments'!$A26)</f>
        <v>0</v>
      </c>
      <c r="AA26" s="309">
        <f t="shared" si="7"/>
        <v>0</v>
      </c>
    </row>
    <row r="27" spans="1:27" x14ac:dyDescent="0.35">
      <c r="A27" s="24">
        <v>13</v>
      </c>
      <c r="B27" s="507" t="str">
        <f>IF('As-Filed Schedule 2L'!B27:D27=0,"",'As-Filed Schedule 2L'!B27:D27)</f>
        <v/>
      </c>
      <c r="C27" s="507"/>
      <c r="D27" s="507"/>
      <c r="F27" s="117">
        <f>'As-Filed Schedule 2L'!F27</f>
        <v>0</v>
      </c>
      <c r="G27" s="313">
        <f>SUMIFS(Adjustments!$G:$G,Adjustments!$H:$H,"2L",Adjustments!$I:$I,'Schedule 2L Adjustments'!$F$12,Adjustments!$J:$J,'Schedule 2L Adjustments'!$A27)</f>
        <v>0</v>
      </c>
      <c r="H27" s="309">
        <f t="shared" si="0"/>
        <v>0</v>
      </c>
      <c r="I27" s="68">
        <f>IFERROR(F27*'As-Filed Schedule 1'!$E$103,0)</f>
        <v>0</v>
      </c>
      <c r="J27" s="310">
        <f>IFERROR(H27*'Adjusted Schedule 1'!$E$104,0)</f>
        <v>0</v>
      </c>
      <c r="K27" s="68">
        <f t="shared" si="1"/>
        <v>0</v>
      </c>
      <c r="L27" s="310">
        <f t="shared" si="2"/>
        <v>0</v>
      </c>
      <c r="N27" s="117">
        <f>'As-Filed Schedule 2L'!J27</f>
        <v>0</v>
      </c>
      <c r="O27" s="313">
        <f>SUMIFS(Adjustments!$G:$G,Adjustments!$H:$H,"2L",Adjustments!$I:$I,'Schedule 2L Adjustments'!$N$12,Adjustments!$J:$J,'Schedule 2L Adjustments'!$A27)</f>
        <v>0</v>
      </c>
      <c r="P27" s="309">
        <f t="shared" si="3"/>
        <v>0</v>
      </c>
      <c r="Q27" s="68">
        <f>IFERROR(N27*'As-Filed Schedule 1'!$E$103,0)</f>
        <v>0</v>
      </c>
      <c r="R27" s="68">
        <f>IFERROR(P27*'Adjusted Schedule 1'!$E$104,0)</f>
        <v>0</v>
      </c>
      <c r="S27" s="68">
        <f t="shared" si="4"/>
        <v>0</v>
      </c>
      <c r="T27" s="310">
        <f t="shared" si="5"/>
        <v>0</v>
      </c>
      <c r="V27" s="120">
        <f>'As-Filed Schedule 2L'!N27</f>
        <v>0</v>
      </c>
      <c r="W27" s="313">
        <f>SUMIFS(Adjustments!$G:$G,Adjustments!$H:$H,"2L",Adjustments!$I:$I,'Schedule 2L Adjustments'!$V$12,Adjustments!$J:$J,'Schedule 2L Adjustments'!$A27)</f>
        <v>0</v>
      </c>
      <c r="X27" s="309">
        <f t="shared" si="6"/>
        <v>0</v>
      </c>
      <c r="Y27" s="120">
        <f>'As-Filed Schedule 2L'!O27</f>
        <v>0</v>
      </c>
      <c r="Z27" s="313">
        <f>SUMIFS(Adjustments!$G:$G,Adjustments!$H:$H,"2L",Adjustments!$I:$I,'Schedule 2L Adjustments'!$Y$12,Adjustments!$J:$J,'Schedule 2L Adjustments'!$A27)</f>
        <v>0</v>
      </c>
      <c r="AA27" s="309">
        <f t="shared" si="7"/>
        <v>0</v>
      </c>
    </row>
    <row r="28" spans="1:27" x14ac:dyDescent="0.35">
      <c r="A28" s="24">
        <v>14</v>
      </c>
      <c r="B28" s="507" t="str">
        <f>IF('As-Filed Schedule 2L'!B28:D28=0,"",'As-Filed Schedule 2L'!B28:D28)</f>
        <v/>
      </c>
      <c r="C28" s="507"/>
      <c r="D28" s="507"/>
      <c r="F28" s="117">
        <f>'As-Filed Schedule 2L'!F28</f>
        <v>0</v>
      </c>
      <c r="G28" s="313">
        <f>SUMIFS(Adjustments!$G:$G,Adjustments!$H:$H,"2L",Adjustments!$I:$I,'Schedule 2L Adjustments'!$F$12,Adjustments!$J:$J,'Schedule 2L Adjustments'!$A28)</f>
        <v>0</v>
      </c>
      <c r="H28" s="309">
        <f t="shared" si="0"/>
        <v>0</v>
      </c>
      <c r="I28" s="68">
        <f>IFERROR(F28*'As-Filed Schedule 1'!$E$103,0)</f>
        <v>0</v>
      </c>
      <c r="J28" s="310">
        <f>IFERROR(H28*'Adjusted Schedule 1'!$E$104,0)</f>
        <v>0</v>
      </c>
      <c r="K28" s="68">
        <f t="shared" si="1"/>
        <v>0</v>
      </c>
      <c r="L28" s="310">
        <f t="shared" si="2"/>
        <v>0</v>
      </c>
      <c r="N28" s="117">
        <f>'As-Filed Schedule 2L'!J28</f>
        <v>0</v>
      </c>
      <c r="O28" s="313">
        <f>SUMIFS(Adjustments!$G:$G,Adjustments!$H:$H,"2L",Adjustments!$I:$I,'Schedule 2L Adjustments'!$N$12,Adjustments!$J:$J,'Schedule 2L Adjustments'!$A28)</f>
        <v>0</v>
      </c>
      <c r="P28" s="309">
        <f t="shared" si="3"/>
        <v>0</v>
      </c>
      <c r="Q28" s="68">
        <f>IFERROR(N28*'As-Filed Schedule 1'!$E$103,0)</f>
        <v>0</v>
      </c>
      <c r="R28" s="68">
        <f>IFERROR(P28*'Adjusted Schedule 1'!$E$104,0)</f>
        <v>0</v>
      </c>
      <c r="S28" s="68">
        <f t="shared" si="4"/>
        <v>0</v>
      </c>
      <c r="T28" s="310">
        <f t="shared" si="5"/>
        <v>0</v>
      </c>
      <c r="V28" s="120">
        <f>'As-Filed Schedule 2L'!N28</f>
        <v>0</v>
      </c>
      <c r="W28" s="313">
        <f>SUMIFS(Adjustments!$G:$G,Adjustments!$H:$H,"2L",Adjustments!$I:$I,'Schedule 2L Adjustments'!$V$12,Adjustments!$J:$J,'Schedule 2L Adjustments'!$A28)</f>
        <v>0</v>
      </c>
      <c r="X28" s="309">
        <f t="shared" si="6"/>
        <v>0</v>
      </c>
      <c r="Y28" s="120">
        <f>'As-Filed Schedule 2L'!O28</f>
        <v>0</v>
      </c>
      <c r="Z28" s="313">
        <f>SUMIFS(Adjustments!$G:$G,Adjustments!$H:$H,"2L",Adjustments!$I:$I,'Schedule 2L Adjustments'!$Y$12,Adjustments!$J:$J,'Schedule 2L Adjustments'!$A28)</f>
        <v>0</v>
      </c>
      <c r="AA28" s="309">
        <f t="shared" si="7"/>
        <v>0</v>
      </c>
    </row>
    <row r="29" spans="1:27" x14ac:dyDescent="0.35">
      <c r="A29" s="24">
        <v>15</v>
      </c>
      <c r="B29" s="507" t="str">
        <f>IF('As-Filed Schedule 2L'!B29:D29=0,"",'As-Filed Schedule 2L'!B29:D29)</f>
        <v/>
      </c>
      <c r="C29" s="507"/>
      <c r="D29" s="507"/>
      <c r="F29" s="117">
        <f>'As-Filed Schedule 2L'!F29</f>
        <v>0</v>
      </c>
      <c r="G29" s="313">
        <f>SUMIFS(Adjustments!$G:$G,Adjustments!$H:$H,"2L",Adjustments!$I:$I,'Schedule 2L Adjustments'!$F$12,Adjustments!$J:$J,'Schedule 2L Adjustments'!$A29)</f>
        <v>0</v>
      </c>
      <c r="H29" s="309">
        <f t="shared" si="0"/>
        <v>0</v>
      </c>
      <c r="I29" s="68">
        <f>IFERROR(F29*'As-Filed Schedule 1'!$E$103,0)</f>
        <v>0</v>
      </c>
      <c r="J29" s="310">
        <f>IFERROR(H29*'Adjusted Schedule 1'!$E$104,0)</f>
        <v>0</v>
      </c>
      <c r="K29" s="68">
        <f t="shared" si="1"/>
        <v>0</v>
      </c>
      <c r="L29" s="310">
        <f t="shared" si="2"/>
        <v>0</v>
      </c>
      <c r="N29" s="117">
        <f>'As-Filed Schedule 2L'!J29</f>
        <v>0</v>
      </c>
      <c r="O29" s="313">
        <f>SUMIFS(Adjustments!$G:$G,Adjustments!$H:$H,"2L",Adjustments!$I:$I,'Schedule 2L Adjustments'!$N$12,Adjustments!$J:$J,'Schedule 2L Adjustments'!$A29)</f>
        <v>0</v>
      </c>
      <c r="P29" s="309">
        <f t="shared" si="3"/>
        <v>0</v>
      </c>
      <c r="Q29" s="68">
        <f>IFERROR(N29*'As-Filed Schedule 1'!$E$103,0)</f>
        <v>0</v>
      </c>
      <c r="R29" s="68">
        <f>IFERROR(P29*'Adjusted Schedule 1'!$E$104,0)</f>
        <v>0</v>
      </c>
      <c r="S29" s="68">
        <f t="shared" si="4"/>
        <v>0</v>
      </c>
      <c r="T29" s="310">
        <f t="shared" si="5"/>
        <v>0</v>
      </c>
      <c r="V29" s="120">
        <f>'As-Filed Schedule 2L'!N29</f>
        <v>0</v>
      </c>
      <c r="W29" s="313">
        <f>SUMIFS(Adjustments!$G:$G,Adjustments!$H:$H,"2L",Adjustments!$I:$I,'Schedule 2L Adjustments'!$V$12,Adjustments!$J:$J,'Schedule 2L Adjustments'!$A29)</f>
        <v>0</v>
      </c>
      <c r="X29" s="309">
        <f t="shared" si="6"/>
        <v>0</v>
      </c>
      <c r="Y29" s="120">
        <f>'As-Filed Schedule 2L'!O29</f>
        <v>0</v>
      </c>
      <c r="Z29" s="313">
        <f>SUMIFS(Adjustments!$G:$G,Adjustments!$H:$H,"2L",Adjustments!$I:$I,'Schedule 2L Adjustments'!$Y$12,Adjustments!$J:$J,'Schedule 2L Adjustments'!$A29)</f>
        <v>0</v>
      </c>
      <c r="AA29" s="309">
        <f t="shared" si="7"/>
        <v>0</v>
      </c>
    </row>
    <row r="30" spans="1:27" x14ac:dyDescent="0.35">
      <c r="A30" s="24">
        <v>16</v>
      </c>
      <c r="B30" s="507" t="str">
        <f>IF('As-Filed Schedule 2L'!B30:D30=0,"",'As-Filed Schedule 2L'!B30:D30)</f>
        <v/>
      </c>
      <c r="C30" s="507"/>
      <c r="D30" s="507"/>
      <c r="F30" s="117">
        <f>'As-Filed Schedule 2L'!F30</f>
        <v>0</v>
      </c>
      <c r="G30" s="313">
        <f>SUMIFS(Adjustments!$G:$G,Adjustments!$H:$H,"2L",Adjustments!$I:$I,'Schedule 2L Adjustments'!$F$12,Adjustments!$J:$J,'Schedule 2L Adjustments'!$A30)</f>
        <v>0</v>
      </c>
      <c r="H30" s="309">
        <f t="shared" si="0"/>
        <v>0</v>
      </c>
      <c r="I30" s="68">
        <f>IFERROR(F30*'As-Filed Schedule 1'!$E$103,0)</f>
        <v>0</v>
      </c>
      <c r="J30" s="310">
        <f>IFERROR(H30*'Adjusted Schedule 1'!$E$104,0)</f>
        <v>0</v>
      </c>
      <c r="K30" s="68">
        <f t="shared" si="1"/>
        <v>0</v>
      </c>
      <c r="L30" s="310">
        <f t="shared" si="2"/>
        <v>0</v>
      </c>
      <c r="N30" s="117">
        <f>'As-Filed Schedule 2L'!J30</f>
        <v>0</v>
      </c>
      <c r="O30" s="313">
        <f>SUMIFS(Adjustments!$G:$G,Adjustments!$H:$H,"2L",Adjustments!$I:$I,'Schedule 2L Adjustments'!$N$12,Adjustments!$J:$J,'Schedule 2L Adjustments'!$A30)</f>
        <v>0</v>
      </c>
      <c r="P30" s="309">
        <f t="shared" si="3"/>
        <v>0</v>
      </c>
      <c r="Q30" s="68">
        <f>IFERROR(N30*'As-Filed Schedule 1'!$E$103,0)</f>
        <v>0</v>
      </c>
      <c r="R30" s="68">
        <f>IFERROR(P30*'Adjusted Schedule 1'!$E$104,0)</f>
        <v>0</v>
      </c>
      <c r="S30" s="68">
        <f t="shared" si="4"/>
        <v>0</v>
      </c>
      <c r="T30" s="310">
        <f t="shared" si="5"/>
        <v>0</v>
      </c>
      <c r="V30" s="120">
        <f>'As-Filed Schedule 2L'!N30</f>
        <v>0</v>
      </c>
      <c r="W30" s="313">
        <f>SUMIFS(Adjustments!$G:$G,Adjustments!$H:$H,"2L",Adjustments!$I:$I,'Schedule 2L Adjustments'!$V$12,Adjustments!$J:$J,'Schedule 2L Adjustments'!$A30)</f>
        <v>0</v>
      </c>
      <c r="X30" s="309">
        <f t="shared" si="6"/>
        <v>0</v>
      </c>
      <c r="Y30" s="120">
        <f>'As-Filed Schedule 2L'!O30</f>
        <v>0</v>
      </c>
      <c r="Z30" s="313">
        <f>SUMIFS(Adjustments!$G:$G,Adjustments!$H:$H,"2L",Adjustments!$I:$I,'Schedule 2L Adjustments'!$Y$12,Adjustments!$J:$J,'Schedule 2L Adjustments'!$A30)</f>
        <v>0</v>
      </c>
      <c r="AA30" s="309">
        <f t="shared" si="7"/>
        <v>0</v>
      </c>
    </row>
    <row r="31" spans="1:27" x14ac:dyDescent="0.35">
      <c r="A31" s="24">
        <v>17</v>
      </c>
      <c r="B31" s="507" t="str">
        <f>IF('As-Filed Schedule 2L'!B31:D31=0,"",'As-Filed Schedule 2L'!B31:D31)</f>
        <v/>
      </c>
      <c r="C31" s="507"/>
      <c r="D31" s="507"/>
      <c r="F31" s="117">
        <f>'As-Filed Schedule 2L'!F31</f>
        <v>0</v>
      </c>
      <c r="G31" s="313">
        <f>SUMIFS(Adjustments!$G:$G,Adjustments!$H:$H,"2L",Adjustments!$I:$I,'Schedule 2L Adjustments'!$F$12,Adjustments!$J:$J,'Schedule 2L Adjustments'!$A31)</f>
        <v>0</v>
      </c>
      <c r="H31" s="309">
        <f t="shared" si="0"/>
        <v>0</v>
      </c>
      <c r="I31" s="68">
        <f>IFERROR(F31*'As-Filed Schedule 1'!$E$103,0)</f>
        <v>0</v>
      </c>
      <c r="J31" s="310">
        <f>IFERROR(H31*'Adjusted Schedule 1'!$E$104,0)</f>
        <v>0</v>
      </c>
      <c r="K31" s="68">
        <f t="shared" si="1"/>
        <v>0</v>
      </c>
      <c r="L31" s="310">
        <f t="shared" si="2"/>
        <v>0</v>
      </c>
      <c r="N31" s="117">
        <f>'As-Filed Schedule 2L'!J31</f>
        <v>0</v>
      </c>
      <c r="O31" s="313">
        <f>SUMIFS(Adjustments!$G:$G,Adjustments!$H:$H,"2L",Adjustments!$I:$I,'Schedule 2L Adjustments'!$N$12,Adjustments!$J:$J,'Schedule 2L Adjustments'!$A31)</f>
        <v>0</v>
      </c>
      <c r="P31" s="309">
        <f t="shared" si="3"/>
        <v>0</v>
      </c>
      <c r="Q31" s="68">
        <f>IFERROR(N31*'As-Filed Schedule 1'!$E$103,0)</f>
        <v>0</v>
      </c>
      <c r="R31" s="68">
        <f>IFERROR(P31*'Adjusted Schedule 1'!$E$104,0)</f>
        <v>0</v>
      </c>
      <c r="S31" s="68">
        <f t="shared" si="4"/>
        <v>0</v>
      </c>
      <c r="T31" s="310">
        <f t="shared" si="5"/>
        <v>0</v>
      </c>
      <c r="V31" s="120">
        <f>'As-Filed Schedule 2L'!N31</f>
        <v>0</v>
      </c>
      <c r="W31" s="313">
        <f>SUMIFS(Adjustments!$G:$G,Adjustments!$H:$H,"2L",Adjustments!$I:$I,'Schedule 2L Adjustments'!$V$12,Adjustments!$J:$J,'Schedule 2L Adjustments'!$A31)</f>
        <v>0</v>
      </c>
      <c r="X31" s="309">
        <f t="shared" si="6"/>
        <v>0</v>
      </c>
      <c r="Y31" s="120">
        <f>'As-Filed Schedule 2L'!O31</f>
        <v>0</v>
      </c>
      <c r="Z31" s="313">
        <f>SUMIFS(Adjustments!$G:$G,Adjustments!$H:$H,"2L",Adjustments!$I:$I,'Schedule 2L Adjustments'!$Y$12,Adjustments!$J:$J,'Schedule 2L Adjustments'!$A31)</f>
        <v>0</v>
      </c>
      <c r="AA31" s="309">
        <f t="shared" si="7"/>
        <v>0</v>
      </c>
    </row>
    <row r="32" spans="1:27" x14ac:dyDescent="0.35">
      <c r="A32" s="24">
        <v>18</v>
      </c>
      <c r="B32" s="507" t="str">
        <f>IF('As-Filed Schedule 2L'!B32:D32=0,"",'As-Filed Schedule 2L'!B32:D32)</f>
        <v/>
      </c>
      <c r="C32" s="507"/>
      <c r="D32" s="507"/>
      <c r="F32" s="117">
        <f>'As-Filed Schedule 2L'!F32</f>
        <v>0</v>
      </c>
      <c r="G32" s="313">
        <f>SUMIFS(Adjustments!$G:$G,Adjustments!$H:$H,"2L",Adjustments!$I:$I,'Schedule 2L Adjustments'!$F$12,Adjustments!$J:$J,'Schedule 2L Adjustments'!$A32)</f>
        <v>0</v>
      </c>
      <c r="H32" s="309">
        <f t="shared" si="0"/>
        <v>0</v>
      </c>
      <c r="I32" s="68">
        <f>IFERROR(F32*'As-Filed Schedule 1'!$E$103,0)</f>
        <v>0</v>
      </c>
      <c r="J32" s="310">
        <f>IFERROR(H32*'Adjusted Schedule 1'!$E$104,0)</f>
        <v>0</v>
      </c>
      <c r="K32" s="68">
        <f t="shared" si="1"/>
        <v>0</v>
      </c>
      <c r="L32" s="310">
        <f t="shared" si="2"/>
        <v>0</v>
      </c>
      <c r="N32" s="117">
        <f>'As-Filed Schedule 2L'!J32</f>
        <v>0</v>
      </c>
      <c r="O32" s="313">
        <f>SUMIFS(Adjustments!$G:$G,Adjustments!$H:$H,"2L",Adjustments!$I:$I,'Schedule 2L Adjustments'!$N$12,Adjustments!$J:$J,'Schedule 2L Adjustments'!$A32)</f>
        <v>0</v>
      </c>
      <c r="P32" s="309">
        <f t="shared" si="3"/>
        <v>0</v>
      </c>
      <c r="Q32" s="68">
        <f>IFERROR(N32*'As-Filed Schedule 1'!$E$103,0)</f>
        <v>0</v>
      </c>
      <c r="R32" s="68">
        <f>IFERROR(P32*'Adjusted Schedule 1'!$E$104,0)</f>
        <v>0</v>
      </c>
      <c r="S32" s="68">
        <f t="shared" si="4"/>
        <v>0</v>
      </c>
      <c r="T32" s="310">
        <f t="shared" si="5"/>
        <v>0</v>
      </c>
      <c r="V32" s="120">
        <f>'As-Filed Schedule 2L'!N32</f>
        <v>0</v>
      </c>
      <c r="W32" s="313">
        <f>SUMIFS(Adjustments!$G:$G,Adjustments!$H:$H,"2L",Adjustments!$I:$I,'Schedule 2L Adjustments'!$V$12,Adjustments!$J:$J,'Schedule 2L Adjustments'!$A32)</f>
        <v>0</v>
      </c>
      <c r="X32" s="309">
        <f t="shared" si="6"/>
        <v>0</v>
      </c>
      <c r="Y32" s="120">
        <f>'As-Filed Schedule 2L'!O32</f>
        <v>0</v>
      </c>
      <c r="Z32" s="313">
        <f>SUMIFS(Adjustments!$G:$G,Adjustments!$H:$H,"2L",Adjustments!$I:$I,'Schedule 2L Adjustments'!$Y$12,Adjustments!$J:$J,'Schedule 2L Adjustments'!$A32)</f>
        <v>0</v>
      </c>
      <c r="AA32" s="309">
        <f t="shared" si="7"/>
        <v>0</v>
      </c>
    </row>
    <row r="33" spans="1:27" x14ac:dyDescent="0.35">
      <c r="A33" s="24">
        <v>19</v>
      </c>
      <c r="B33" s="507" t="str">
        <f>IF('As-Filed Schedule 2L'!B33:D33=0,"",'As-Filed Schedule 2L'!B33:D33)</f>
        <v/>
      </c>
      <c r="C33" s="507"/>
      <c r="D33" s="507"/>
      <c r="F33" s="117">
        <f>'As-Filed Schedule 2L'!F33</f>
        <v>0</v>
      </c>
      <c r="G33" s="313">
        <f>SUMIFS(Adjustments!$G:$G,Adjustments!$H:$H,"2L",Adjustments!$I:$I,'Schedule 2L Adjustments'!$F$12,Adjustments!$J:$J,'Schedule 2L Adjustments'!$A33)</f>
        <v>0</v>
      </c>
      <c r="H33" s="309">
        <f t="shared" si="0"/>
        <v>0</v>
      </c>
      <c r="I33" s="68">
        <f>IFERROR(F33*'As-Filed Schedule 1'!$E$103,0)</f>
        <v>0</v>
      </c>
      <c r="J33" s="310">
        <f>IFERROR(H33*'Adjusted Schedule 1'!$E$104,0)</f>
        <v>0</v>
      </c>
      <c r="K33" s="68">
        <f t="shared" si="1"/>
        <v>0</v>
      </c>
      <c r="L33" s="310">
        <f t="shared" si="2"/>
        <v>0</v>
      </c>
      <c r="N33" s="117">
        <f>'As-Filed Schedule 2L'!J33</f>
        <v>0</v>
      </c>
      <c r="O33" s="313">
        <f>SUMIFS(Adjustments!$G:$G,Adjustments!$H:$H,"2L",Adjustments!$I:$I,'Schedule 2L Adjustments'!$N$12,Adjustments!$J:$J,'Schedule 2L Adjustments'!$A33)</f>
        <v>0</v>
      </c>
      <c r="P33" s="309">
        <f t="shared" si="3"/>
        <v>0</v>
      </c>
      <c r="Q33" s="68">
        <f>IFERROR(N33*'As-Filed Schedule 1'!$E$103,0)</f>
        <v>0</v>
      </c>
      <c r="R33" s="68">
        <f>IFERROR(P33*'Adjusted Schedule 1'!$E$104,0)</f>
        <v>0</v>
      </c>
      <c r="S33" s="68">
        <f t="shared" si="4"/>
        <v>0</v>
      </c>
      <c r="T33" s="310">
        <f t="shared" si="5"/>
        <v>0</v>
      </c>
      <c r="V33" s="120">
        <f>'As-Filed Schedule 2L'!N33</f>
        <v>0</v>
      </c>
      <c r="W33" s="313">
        <f>SUMIFS(Adjustments!$G:$G,Adjustments!$H:$H,"2L",Adjustments!$I:$I,'Schedule 2L Adjustments'!$V$12,Adjustments!$J:$J,'Schedule 2L Adjustments'!$A33)</f>
        <v>0</v>
      </c>
      <c r="X33" s="309">
        <f t="shared" si="6"/>
        <v>0</v>
      </c>
      <c r="Y33" s="120">
        <f>'As-Filed Schedule 2L'!O33</f>
        <v>0</v>
      </c>
      <c r="Z33" s="313">
        <f>SUMIFS(Adjustments!$G:$G,Adjustments!$H:$H,"2L",Adjustments!$I:$I,'Schedule 2L Adjustments'!$Y$12,Adjustments!$J:$J,'Schedule 2L Adjustments'!$A33)</f>
        <v>0</v>
      </c>
      <c r="AA33" s="309">
        <f t="shared" si="7"/>
        <v>0</v>
      </c>
    </row>
    <row r="34" spans="1:27" x14ac:dyDescent="0.35">
      <c r="A34" s="24">
        <v>20</v>
      </c>
      <c r="B34" s="507" t="str">
        <f>IF('As-Filed Schedule 2L'!B34:D34=0,"",'As-Filed Schedule 2L'!B34:D34)</f>
        <v/>
      </c>
      <c r="C34" s="507"/>
      <c r="D34" s="507"/>
      <c r="F34" s="117">
        <f>'As-Filed Schedule 2L'!F34</f>
        <v>0</v>
      </c>
      <c r="G34" s="313">
        <f>SUMIFS(Adjustments!$G:$G,Adjustments!$H:$H,"2L",Adjustments!$I:$I,'Schedule 2L Adjustments'!$F$12,Adjustments!$J:$J,'Schedule 2L Adjustments'!$A34)</f>
        <v>0</v>
      </c>
      <c r="H34" s="309">
        <f t="shared" si="0"/>
        <v>0</v>
      </c>
      <c r="I34" s="68">
        <f>IFERROR(F34*'As-Filed Schedule 1'!$E$103,0)</f>
        <v>0</v>
      </c>
      <c r="J34" s="310">
        <f>IFERROR(H34*'Adjusted Schedule 1'!$E$104,0)</f>
        <v>0</v>
      </c>
      <c r="K34" s="68">
        <f t="shared" si="1"/>
        <v>0</v>
      </c>
      <c r="L34" s="310">
        <f t="shared" si="2"/>
        <v>0</v>
      </c>
      <c r="N34" s="117">
        <f>'As-Filed Schedule 2L'!J34</f>
        <v>0</v>
      </c>
      <c r="O34" s="313">
        <f>SUMIFS(Adjustments!$G:$G,Adjustments!$H:$H,"2L",Adjustments!$I:$I,'Schedule 2L Adjustments'!$N$12,Adjustments!$J:$J,'Schedule 2L Adjustments'!$A34)</f>
        <v>0</v>
      </c>
      <c r="P34" s="309">
        <f t="shared" si="3"/>
        <v>0</v>
      </c>
      <c r="Q34" s="68">
        <f>IFERROR(N34*'As-Filed Schedule 1'!$E$103,0)</f>
        <v>0</v>
      </c>
      <c r="R34" s="68">
        <f>IFERROR(P34*'Adjusted Schedule 1'!$E$104,0)</f>
        <v>0</v>
      </c>
      <c r="S34" s="68">
        <f t="shared" si="4"/>
        <v>0</v>
      </c>
      <c r="T34" s="310">
        <f t="shared" si="5"/>
        <v>0</v>
      </c>
      <c r="V34" s="120">
        <f>'As-Filed Schedule 2L'!N34</f>
        <v>0</v>
      </c>
      <c r="W34" s="313">
        <f>SUMIFS(Adjustments!$G:$G,Adjustments!$H:$H,"2L",Adjustments!$I:$I,'Schedule 2L Adjustments'!$V$12,Adjustments!$J:$J,'Schedule 2L Adjustments'!$A34)</f>
        <v>0</v>
      </c>
      <c r="X34" s="309">
        <f t="shared" si="6"/>
        <v>0</v>
      </c>
      <c r="Y34" s="120">
        <f>'As-Filed Schedule 2L'!O34</f>
        <v>0</v>
      </c>
      <c r="Z34" s="313">
        <f>SUMIFS(Adjustments!$G:$G,Adjustments!$H:$H,"2L",Adjustments!$I:$I,'Schedule 2L Adjustments'!$Y$12,Adjustments!$J:$J,'Schedule 2L Adjustments'!$A34)</f>
        <v>0</v>
      </c>
      <c r="AA34" s="309">
        <f t="shared" si="7"/>
        <v>0</v>
      </c>
    </row>
    <row r="35" spans="1:27" x14ac:dyDescent="0.35">
      <c r="A35" s="24">
        <v>21</v>
      </c>
      <c r="B35" s="507" t="str">
        <f>IF('As-Filed Schedule 2L'!B35:D35=0,"",'As-Filed Schedule 2L'!B35:D35)</f>
        <v/>
      </c>
      <c r="C35" s="507"/>
      <c r="D35" s="507"/>
      <c r="F35" s="117">
        <f>'As-Filed Schedule 2L'!F35</f>
        <v>0</v>
      </c>
      <c r="G35" s="313">
        <f>SUMIFS(Adjustments!$G:$G,Adjustments!$H:$H,"2L",Adjustments!$I:$I,'Schedule 2L Adjustments'!$F$12,Adjustments!$J:$J,'Schedule 2L Adjustments'!$A35)</f>
        <v>0</v>
      </c>
      <c r="H35" s="309">
        <f t="shared" si="0"/>
        <v>0</v>
      </c>
      <c r="I35" s="68">
        <f>IFERROR(F35*'As-Filed Schedule 1'!$E$103,0)</f>
        <v>0</v>
      </c>
      <c r="J35" s="310">
        <f>IFERROR(H35*'Adjusted Schedule 1'!$E$104,0)</f>
        <v>0</v>
      </c>
      <c r="K35" s="68">
        <f t="shared" si="1"/>
        <v>0</v>
      </c>
      <c r="L35" s="310">
        <f t="shared" si="2"/>
        <v>0</v>
      </c>
      <c r="N35" s="117">
        <f>'As-Filed Schedule 2L'!J35</f>
        <v>0</v>
      </c>
      <c r="O35" s="313">
        <f>SUMIFS(Adjustments!$G:$G,Adjustments!$H:$H,"2L",Adjustments!$I:$I,'Schedule 2L Adjustments'!$N$12,Adjustments!$J:$J,'Schedule 2L Adjustments'!$A35)</f>
        <v>0</v>
      </c>
      <c r="P35" s="309">
        <f t="shared" si="3"/>
        <v>0</v>
      </c>
      <c r="Q35" s="68">
        <f>IFERROR(N35*'As-Filed Schedule 1'!$E$103,0)</f>
        <v>0</v>
      </c>
      <c r="R35" s="68">
        <f>IFERROR(P35*'Adjusted Schedule 1'!$E$104,0)</f>
        <v>0</v>
      </c>
      <c r="S35" s="68">
        <f t="shared" si="4"/>
        <v>0</v>
      </c>
      <c r="T35" s="310">
        <f t="shared" si="5"/>
        <v>0</v>
      </c>
      <c r="V35" s="120">
        <f>'As-Filed Schedule 2L'!N35</f>
        <v>0</v>
      </c>
      <c r="W35" s="313">
        <f>SUMIFS(Adjustments!$G:$G,Adjustments!$H:$H,"2L",Adjustments!$I:$I,'Schedule 2L Adjustments'!$V$12,Adjustments!$J:$J,'Schedule 2L Adjustments'!$A35)</f>
        <v>0</v>
      </c>
      <c r="X35" s="309">
        <f t="shared" si="6"/>
        <v>0</v>
      </c>
      <c r="Y35" s="120">
        <f>'As-Filed Schedule 2L'!O35</f>
        <v>0</v>
      </c>
      <c r="Z35" s="313">
        <f>SUMIFS(Adjustments!$G:$G,Adjustments!$H:$H,"2L",Adjustments!$I:$I,'Schedule 2L Adjustments'!$Y$12,Adjustments!$J:$J,'Schedule 2L Adjustments'!$A35)</f>
        <v>0</v>
      </c>
      <c r="AA35" s="309">
        <f t="shared" si="7"/>
        <v>0</v>
      </c>
    </row>
    <row r="36" spans="1:27" x14ac:dyDescent="0.35">
      <c r="A36" s="24">
        <v>22</v>
      </c>
      <c r="B36" s="507" t="str">
        <f>IF('As-Filed Schedule 2L'!B36:D36=0,"",'As-Filed Schedule 2L'!B36:D36)</f>
        <v/>
      </c>
      <c r="C36" s="507"/>
      <c r="D36" s="507"/>
      <c r="F36" s="117">
        <f>'As-Filed Schedule 2L'!F36</f>
        <v>0</v>
      </c>
      <c r="G36" s="313">
        <f>SUMIFS(Adjustments!$G:$G,Adjustments!$H:$H,"2L",Adjustments!$I:$I,'Schedule 2L Adjustments'!$F$12,Adjustments!$J:$J,'Schedule 2L Adjustments'!$A36)</f>
        <v>0</v>
      </c>
      <c r="H36" s="309">
        <f t="shared" si="0"/>
        <v>0</v>
      </c>
      <c r="I36" s="68">
        <f>IFERROR(F36*'As-Filed Schedule 1'!$E$103,0)</f>
        <v>0</v>
      </c>
      <c r="J36" s="310">
        <f>IFERROR(H36*'Adjusted Schedule 1'!$E$104,0)</f>
        <v>0</v>
      </c>
      <c r="K36" s="68">
        <f t="shared" si="1"/>
        <v>0</v>
      </c>
      <c r="L36" s="310">
        <f t="shared" si="2"/>
        <v>0</v>
      </c>
      <c r="N36" s="117">
        <f>'As-Filed Schedule 2L'!J36</f>
        <v>0</v>
      </c>
      <c r="O36" s="313">
        <f>SUMIFS(Adjustments!$G:$G,Adjustments!$H:$H,"2L",Adjustments!$I:$I,'Schedule 2L Adjustments'!$N$12,Adjustments!$J:$J,'Schedule 2L Adjustments'!$A36)</f>
        <v>0</v>
      </c>
      <c r="P36" s="309">
        <f t="shared" si="3"/>
        <v>0</v>
      </c>
      <c r="Q36" s="68">
        <f>IFERROR(N36*'As-Filed Schedule 1'!$E$103,0)</f>
        <v>0</v>
      </c>
      <c r="R36" s="68">
        <f>IFERROR(P36*'Adjusted Schedule 1'!$E$104,0)</f>
        <v>0</v>
      </c>
      <c r="S36" s="68">
        <f t="shared" si="4"/>
        <v>0</v>
      </c>
      <c r="T36" s="310">
        <f t="shared" si="5"/>
        <v>0</v>
      </c>
      <c r="V36" s="120">
        <f>'As-Filed Schedule 2L'!N36</f>
        <v>0</v>
      </c>
      <c r="W36" s="313">
        <f>SUMIFS(Adjustments!$G:$G,Adjustments!$H:$H,"2L",Adjustments!$I:$I,'Schedule 2L Adjustments'!$V$12,Adjustments!$J:$J,'Schedule 2L Adjustments'!$A36)</f>
        <v>0</v>
      </c>
      <c r="X36" s="309">
        <f t="shared" si="6"/>
        <v>0</v>
      </c>
      <c r="Y36" s="120">
        <f>'As-Filed Schedule 2L'!O36</f>
        <v>0</v>
      </c>
      <c r="Z36" s="313">
        <f>SUMIFS(Adjustments!$G:$G,Adjustments!$H:$H,"2L",Adjustments!$I:$I,'Schedule 2L Adjustments'!$Y$12,Adjustments!$J:$J,'Schedule 2L Adjustments'!$A36)</f>
        <v>0</v>
      </c>
      <c r="AA36" s="309">
        <f t="shared" si="7"/>
        <v>0</v>
      </c>
    </row>
    <row r="37" spans="1:27" x14ac:dyDescent="0.35">
      <c r="A37" s="24">
        <v>23</v>
      </c>
      <c r="B37" s="507" t="str">
        <f>IF('As-Filed Schedule 2L'!B37:D37=0,"",'As-Filed Schedule 2L'!B37:D37)</f>
        <v/>
      </c>
      <c r="C37" s="507"/>
      <c r="D37" s="507"/>
      <c r="F37" s="117">
        <f>'As-Filed Schedule 2L'!F37</f>
        <v>0</v>
      </c>
      <c r="G37" s="313">
        <f>SUMIFS(Adjustments!$G:$G,Adjustments!$H:$H,"2L",Adjustments!$I:$I,'Schedule 2L Adjustments'!$F$12,Adjustments!$J:$J,'Schedule 2L Adjustments'!$A37)</f>
        <v>0</v>
      </c>
      <c r="H37" s="309">
        <f t="shared" si="0"/>
        <v>0</v>
      </c>
      <c r="I37" s="68">
        <f>IFERROR(F37*'As-Filed Schedule 1'!$E$103,0)</f>
        <v>0</v>
      </c>
      <c r="J37" s="310">
        <f>IFERROR(H37*'Adjusted Schedule 1'!$E$104,0)</f>
        <v>0</v>
      </c>
      <c r="K37" s="68">
        <f t="shared" si="1"/>
        <v>0</v>
      </c>
      <c r="L37" s="310">
        <f t="shared" si="2"/>
        <v>0</v>
      </c>
      <c r="N37" s="117">
        <f>'As-Filed Schedule 2L'!J37</f>
        <v>0</v>
      </c>
      <c r="O37" s="313">
        <f>SUMIFS(Adjustments!$G:$G,Adjustments!$H:$H,"2L",Adjustments!$I:$I,'Schedule 2L Adjustments'!$N$12,Adjustments!$J:$J,'Schedule 2L Adjustments'!$A37)</f>
        <v>0</v>
      </c>
      <c r="P37" s="309">
        <f t="shared" si="3"/>
        <v>0</v>
      </c>
      <c r="Q37" s="68">
        <f>IFERROR(N37*'As-Filed Schedule 1'!$E$103,0)</f>
        <v>0</v>
      </c>
      <c r="R37" s="68">
        <f>IFERROR(P37*'Adjusted Schedule 1'!$E$104,0)</f>
        <v>0</v>
      </c>
      <c r="S37" s="68">
        <f t="shared" si="4"/>
        <v>0</v>
      </c>
      <c r="T37" s="310">
        <f t="shared" si="5"/>
        <v>0</v>
      </c>
      <c r="V37" s="120">
        <f>'As-Filed Schedule 2L'!N37</f>
        <v>0</v>
      </c>
      <c r="W37" s="313">
        <f>SUMIFS(Adjustments!$G:$G,Adjustments!$H:$H,"2L",Adjustments!$I:$I,'Schedule 2L Adjustments'!$V$12,Adjustments!$J:$J,'Schedule 2L Adjustments'!$A37)</f>
        <v>0</v>
      </c>
      <c r="X37" s="309">
        <f t="shared" si="6"/>
        <v>0</v>
      </c>
      <c r="Y37" s="120">
        <f>'As-Filed Schedule 2L'!O37</f>
        <v>0</v>
      </c>
      <c r="Z37" s="313">
        <f>SUMIFS(Adjustments!$G:$G,Adjustments!$H:$H,"2L",Adjustments!$I:$I,'Schedule 2L Adjustments'!$Y$12,Adjustments!$J:$J,'Schedule 2L Adjustments'!$A37)</f>
        <v>0</v>
      </c>
      <c r="AA37" s="309">
        <f t="shared" si="7"/>
        <v>0</v>
      </c>
    </row>
    <row r="38" spans="1:27" x14ac:dyDescent="0.35">
      <c r="A38" s="24">
        <v>24</v>
      </c>
      <c r="B38" s="507" t="str">
        <f>IF('As-Filed Schedule 2L'!B38:D38=0,"",'As-Filed Schedule 2L'!B38:D38)</f>
        <v/>
      </c>
      <c r="C38" s="507"/>
      <c r="D38" s="507"/>
      <c r="F38" s="117">
        <f>'As-Filed Schedule 2L'!F38</f>
        <v>0</v>
      </c>
      <c r="G38" s="313">
        <f>SUMIFS(Adjustments!$G:$G,Adjustments!$H:$H,"2L",Adjustments!$I:$I,'Schedule 2L Adjustments'!$F$12,Adjustments!$J:$J,'Schedule 2L Adjustments'!$A38)</f>
        <v>0</v>
      </c>
      <c r="H38" s="309">
        <f t="shared" si="0"/>
        <v>0</v>
      </c>
      <c r="I38" s="68">
        <f>IFERROR(F38*'As-Filed Schedule 1'!$E$103,0)</f>
        <v>0</v>
      </c>
      <c r="J38" s="310">
        <f>IFERROR(H38*'Adjusted Schedule 1'!$E$104,0)</f>
        <v>0</v>
      </c>
      <c r="K38" s="68">
        <f t="shared" si="1"/>
        <v>0</v>
      </c>
      <c r="L38" s="310">
        <f t="shared" si="2"/>
        <v>0</v>
      </c>
      <c r="N38" s="117">
        <f>'As-Filed Schedule 2L'!J38</f>
        <v>0</v>
      </c>
      <c r="O38" s="313">
        <f>SUMIFS(Adjustments!$G:$G,Adjustments!$H:$H,"2L",Adjustments!$I:$I,'Schedule 2L Adjustments'!$N$12,Adjustments!$J:$J,'Schedule 2L Adjustments'!$A38)</f>
        <v>0</v>
      </c>
      <c r="P38" s="309">
        <f t="shared" si="3"/>
        <v>0</v>
      </c>
      <c r="Q38" s="68">
        <f>IFERROR(N38*'As-Filed Schedule 1'!$E$103,0)</f>
        <v>0</v>
      </c>
      <c r="R38" s="68">
        <f>IFERROR(P38*'Adjusted Schedule 1'!$E$104,0)</f>
        <v>0</v>
      </c>
      <c r="S38" s="68">
        <f t="shared" si="4"/>
        <v>0</v>
      </c>
      <c r="T38" s="310">
        <f t="shared" si="5"/>
        <v>0</v>
      </c>
      <c r="V38" s="120">
        <f>'As-Filed Schedule 2L'!N38</f>
        <v>0</v>
      </c>
      <c r="W38" s="313">
        <f>SUMIFS(Adjustments!$G:$G,Adjustments!$H:$H,"2L",Adjustments!$I:$I,'Schedule 2L Adjustments'!$V$12,Adjustments!$J:$J,'Schedule 2L Adjustments'!$A38)</f>
        <v>0</v>
      </c>
      <c r="X38" s="309">
        <f t="shared" si="6"/>
        <v>0</v>
      </c>
      <c r="Y38" s="120">
        <f>'As-Filed Schedule 2L'!O38</f>
        <v>0</v>
      </c>
      <c r="Z38" s="313">
        <f>SUMIFS(Adjustments!$G:$G,Adjustments!$H:$H,"2L",Adjustments!$I:$I,'Schedule 2L Adjustments'!$Y$12,Adjustments!$J:$J,'Schedule 2L Adjustments'!$A38)</f>
        <v>0</v>
      </c>
      <c r="AA38" s="309">
        <f t="shared" si="7"/>
        <v>0</v>
      </c>
    </row>
    <row r="39" spans="1:27" x14ac:dyDescent="0.35">
      <c r="A39" s="24">
        <v>25</v>
      </c>
      <c r="B39" s="507" t="str">
        <f>IF('As-Filed Schedule 2L'!B39:D39=0,"",'As-Filed Schedule 2L'!B39:D39)</f>
        <v/>
      </c>
      <c r="C39" s="507"/>
      <c r="D39" s="507"/>
      <c r="F39" s="117">
        <f>'As-Filed Schedule 2L'!F39</f>
        <v>0</v>
      </c>
      <c r="G39" s="313">
        <f>SUMIFS(Adjustments!$G:$G,Adjustments!$H:$H,"2L",Adjustments!$I:$I,'Schedule 2L Adjustments'!$F$12,Adjustments!$J:$J,'Schedule 2L Adjustments'!$A39)</f>
        <v>0</v>
      </c>
      <c r="H39" s="309">
        <f t="shared" si="0"/>
        <v>0</v>
      </c>
      <c r="I39" s="68">
        <f>IFERROR(F39*'As-Filed Schedule 1'!$E$103,0)</f>
        <v>0</v>
      </c>
      <c r="J39" s="310">
        <f>IFERROR(H39*'Adjusted Schedule 1'!$E$104,0)</f>
        <v>0</v>
      </c>
      <c r="K39" s="68">
        <f t="shared" si="1"/>
        <v>0</v>
      </c>
      <c r="L39" s="310">
        <f t="shared" si="2"/>
        <v>0</v>
      </c>
      <c r="N39" s="117">
        <f>'As-Filed Schedule 2L'!J39</f>
        <v>0</v>
      </c>
      <c r="O39" s="313">
        <f>SUMIFS(Adjustments!$G:$G,Adjustments!$H:$H,"2L",Adjustments!$I:$I,'Schedule 2L Adjustments'!$N$12,Adjustments!$J:$J,'Schedule 2L Adjustments'!$A39)</f>
        <v>0</v>
      </c>
      <c r="P39" s="309">
        <f t="shared" si="3"/>
        <v>0</v>
      </c>
      <c r="Q39" s="68">
        <f>IFERROR(N39*'As-Filed Schedule 1'!$E$103,0)</f>
        <v>0</v>
      </c>
      <c r="R39" s="68">
        <f>IFERROR(P39*'Adjusted Schedule 1'!$E$104,0)</f>
        <v>0</v>
      </c>
      <c r="S39" s="68">
        <f t="shared" si="4"/>
        <v>0</v>
      </c>
      <c r="T39" s="310">
        <f t="shared" si="5"/>
        <v>0</v>
      </c>
      <c r="V39" s="120">
        <f>'As-Filed Schedule 2L'!N39</f>
        <v>0</v>
      </c>
      <c r="W39" s="313">
        <f>SUMIFS(Adjustments!$G:$G,Adjustments!$H:$H,"2L",Adjustments!$I:$I,'Schedule 2L Adjustments'!$V$12,Adjustments!$J:$J,'Schedule 2L Adjustments'!$A39)</f>
        <v>0</v>
      </c>
      <c r="X39" s="309">
        <f t="shared" si="6"/>
        <v>0</v>
      </c>
      <c r="Y39" s="120">
        <f>'As-Filed Schedule 2L'!O39</f>
        <v>0</v>
      </c>
      <c r="Z39" s="313">
        <f>SUMIFS(Adjustments!$G:$G,Adjustments!$H:$H,"2L",Adjustments!$I:$I,'Schedule 2L Adjustments'!$Y$12,Adjustments!$J:$J,'Schedule 2L Adjustments'!$A39)</f>
        <v>0</v>
      </c>
      <c r="AA39" s="309">
        <f t="shared" si="7"/>
        <v>0</v>
      </c>
    </row>
    <row r="40" spans="1:27" x14ac:dyDescent="0.35">
      <c r="A40" s="24">
        <v>26</v>
      </c>
      <c r="B40" s="507" t="str">
        <f>IF('As-Filed Schedule 2L'!B40:D40=0,"",'As-Filed Schedule 2L'!B40:D40)</f>
        <v/>
      </c>
      <c r="C40" s="507"/>
      <c r="D40" s="507"/>
      <c r="F40" s="117">
        <f>'As-Filed Schedule 2L'!F40</f>
        <v>0</v>
      </c>
      <c r="G40" s="313">
        <f>SUMIFS(Adjustments!$G:$G,Adjustments!$H:$H,"2L",Adjustments!$I:$I,'Schedule 2L Adjustments'!$F$12,Adjustments!$J:$J,'Schedule 2L Adjustments'!$A40)</f>
        <v>0</v>
      </c>
      <c r="H40" s="309">
        <f t="shared" si="0"/>
        <v>0</v>
      </c>
      <c r="I40" s="68">
        <f>IFERROR(F40*'As-Filed Schedule 1'!$E$103,0)</f>
        <v>0</v>
      </c>
      <c r="J40" s="310">
        <f>IFERROR(H40*'Adjusted Schedule 1'!$E$104,0)</f>
        <v>0</v>
      </c>
      <c r="K40" s="68">
        <f t="shared" si="1"/>
        <v>0</v>
      </c>
      <c r="L40" s="310">
        <f t="shared" si="2"/>
        <v>0</v>
      </c>
      <c r="N40" s="117">
        <f>'As-Filed Schedule 2L'!J40</f>
        <v>0</v>
      </c>
      <c r="O40" s="313">
        <f>SUMIFS(Adjustments!$G:$G,Adjustments!$H:$H,"2L",Adjustments!$I:$I,'Schedule 2L Adjustments'!$N$12,Adjustments!$J:$J,'Schedule 2L Adjustments'!$A40)</f>
        <v>0</v>
      </c>
      <c r="P40" s="309">
        <f t="shared" si="3"/>
        <v>0</v>
      </c>
      <c r="Q40" s="68">
        <f>IFERROR(N40*'As-Filed Schedule 1'!$E$103,0)</f>
        <v>0</v>
      </c>
      <c r="R40" s="68">
        <f>IFERROR(P40*'Adjusted Schedule 1'!$E$104,0)</f>
        <v>0</v>
      </c>
      <c r="S40" s="68">
        <f t="shared" si="4"/>
        <v>0</v>
      </c>
      <c r="T40" s="310">
        <f t="shared" si="5"/>
        <v>0</v>
      </c>
      <c r="V40" s="120">
        <f>'As-Filed Schedule 2L'!N40</f>
        <v>0</v>
      </c>
      <c r="W40" s="313">
        <f>SUMIFS(Adjustments!$G:$G,Adjustments!$H:$H,"2L",Adjustments!$I:$I,'Schedule 2L Adjustments'!$V$12,Adjustments!$J:$J,'Schedule 2L Adjustments'!$A40)</f>
        <v>0</v>
      </c>
      <c r="X40" s="309">
        <f t="shared" si="6"/>
        <v>0</v>
      </c>
      <c r="Y40" s="120">
        <f>'As-Filed Schedule 2L'!O40</f>
        <v>0</v>
      </c>
      <c r="Z40" s="313">
        <f>SUMIFS(Adjustments!$G:$G,Adjustments!$H:$H,"2L",Adjustments!$I:$I,'Schedule 2L Adjustments'!$Y$12,Adjustments!$J:$J,'Schedule 2L Adjustments'!$A40)</f>
        <v>0</v>
      </c>
      <c r="AA40" s="309">
        <f t="shared" si="7"/>
        <v>0</v>
      </c>
    </row>
    <row r="41" spans="1:27" x14ac:dyDescent="0.35">
      <c r="A41" s="24">
        <v>27</v>
      </c>
      <c r="B41" s="507" t="str">
        <f>IF('As-Filed Schedule 2L'!B41:D41=0,"",'As-Filed Schedule 2L'!B41:D41)</f>
        <v/>
      </c>
      <c r="C41" s="507"/>
      <c r="D41" s="507"/>
      <c r="F41" s="117">
        <f>'As-Filed Schedule 2L'!F41</f>
        <v>0</v>
      </c>
      <c r="G41" s="313">
        <f>SUMIFS(Adjustments!$G:$G,Adjustments!$H:$H,"2L",Adjustments!$I:$I,'Schedule 2L Adjustments'!$F$12,Adjustments!$J:$J,'Schedule 2L Adjustments'!$A41)</f>
        <v>0</v>
      </c>
      <c r="H41" s="309">
        <f t="shared" si="0"/>
        <v>0</v>
      </c>
      <c r="I41" s="68">
        <f>IFERROR(F41*'As-Filed Schedule 1'!$E$103,0)</f>
        <v>0</v>
      </c>
      <c r="J41" s="310">
        <f>IFERROR(H41*'Adjusted Schedule 1'!$E$104,0)</f>
        <v>0</v>
      </c>
      <c r="K41" s="68">
        <f t="shared" si="1"/>
        <v>0</v>
      </c>
      <c r="L41" s="310">
        <f t="shared" si="2"/>
        <v>0</v>
      </c>
      <c r="N41" s="117">
        <f>'As-Filed Schedule 2L'!J41</f>
        <v>0</v>
      </c>
      <c r="O41" s="313">
        <f>SUMIFS(Adjustments!$G:$G,Adjustments!$H:$H,"2L",Adjustments!$I:$I,'Schedule 2L Adjustments'!$N$12,Adjustments!$J:$J,'Schedule 2L Adjustments'!$A41)</f>
        <v>0</v>
      </c>
      <c r="P41" s="309">
        <f t="shared" si="3"/>
        <v>0</v>
      </c>
      <c r="Q41" s="68">
        <f>IFERROR(N41*'As-Filed Schedule 1'!$E$103,0)</f>
        <v>0</v>
      </c>
      <c r="R41" s="68">
        <f>IFERROR(P41*'Adjusted Schedule 1'!$E$104,0)</f>
        <v>0</v>
      </c>
      <c r="S41" s="68">
        <f t="shared" si="4"/>
        <v>0</v>
      </c>
      <c r="T41" s="310">
        <f t="shared" si="5"/>
        <v>0</v>
      </c>
      <c r="V41" s="120">
        <f>'As-Filed Schedule 2L'!N41</f>
        <v>0</v>
      </c>
      <c r="W41" s="313">
        <f>SUMIFS(Adjustments!$G:$G,Adjustments!$H:$H,"2L",Adjustments!$I:$I,'Schedule 2L Adjustments'!$V$12,Adjustments!$J:$J,'Schedule 2L Adjustments'!$A41)</f>
        <v>0</v>
      </c>
      <c r="X41" s="309">
        <f t="shared" si="6"/>
        <v>0</v>
      </c>
      <c r="Y41" s="120">
        <f>'As-Filed Schedule 2L'!O41</f>
        <v>0</v>
      </c>
      <c r="Z41" s="313">
        <f>SUMIFS(Adjustments!$G:$G,Adjustments!$H:$H,"2L",Adjustments!$I:$I,'Schedule 2L Adjustments'!$Y$12,Adjustments!$J:$J,'Schedule 2L Adjustments'!$A41)</f>
        <v>0</v>
      </c>
      <c r="AA41" s="309">
        <f t="shared" si="7"/>
        <v>0</v>
      </c>
    </row>
    <row r="42" spans="1:27" x14ac:dyDescent="0.35">
      <c r="A42" s="24">
        <v>28</v>
      </c>
      <c r="B42" s="507" t="str">
        <f>IF('As-Filed Schedule 2L'!B42:D42=0,"",'As-Filed Schedule 2L'!B42:D42)</f>
        <v/>
      </c>
      <c r="C42" s="507"/>
      <c r="D42" s="507"/>
      <c r="F42" s="117">
        <f>'As-Filed Schedule 2L'!F42</f>
        <v>0</v>
      </c>
      <c r="G42" s="313">
        <f>SUMIFS(Adjustments!$G:$G,Adjustments!$H:$H,"2L",Adjustments!$I:$I,'Schedule 2L Adjustments'!$F$12,Adjustments!$J:$J,'Schedule 2L Adjustments'!$A42)</f>
        <v>0</v>
      </c>
      <c r="H42" s="309">
        <f t="shared" si="0"/>
        <v>0</v>
      </c>
      <c r="I42" s="68">
        <f>IFERROR(F42*'As-Filed Schedule 1'!$E$103,0)</f>
        <v>0</v>
      </c>
      <c r="J42" s="310">
        <f>IFERROR(H42*'Adjusted Schedule 1'!$E$104,0)</f>
        <v>0</v>
      </c>
      <c r="K42" s="68">
        <f t="shared" si="1"/>
        <v>0</v>
      </c>
      <c r="L42" s="310">
        <f t="shared" si="2"/>
        <v>0</v>
      </c>
      <c r="N42" s="117">
        <f>'As-Filed Schedule 2L'!J42</f>
        <v>0</v>
      </c>
      <c r="O42" s="313">
        <f>SUMIFS(Adjustments!$G:$G,Adjustments!$H:$H,"2L",Adjustments!$I:$I,'Schedule 2L Adjustments'!$N$12,Adjustments!$J:$J,'Schedule 2L Adjustments'!$A42)</f>
        <v>0</v>
      </c>
      <c r="P42" s="309">
        <f t="shared" si="3"/>
        <v>0</v>
      </c>
      <c r="Q42" s="68">
        <f>IFERROR(N42*'As-Filed Schedule 1'!$E$103,0)</f>
        <v>0</v>
      </c>
      <c r="R42" s="68">
        <f>IFERROR(P42*'Adjusted Schedule 1'!$E$104,0)</f>
        <v>0</v>
      </c>
      <c r="S42" s="68">
        <f t="shared" si="4"/>
        <v>0</v>
      </c>
      <c r="T42" s="310">
        <f t="shared" si="5"/>
        <v>0</v>
      </c>
      <c r="V42" s="120">
        <f>'As-Filed Schedule 2L'!N42</f>
        <v>0</v>
      </c>
      <c r="W42" s="313">
        <f>SUMIFS(Adjustments!$G:$G,Adjustments!$H:$H,"2L",Adjustments!$I:$I,'Schedule 2L Adjustments'!$V$12,Adjustments!$J:$J,'Schedule 2L Adjustments'!$A42)</f>
        <v>0</v>
      </c>
      <c r="X42" s="309">
        <f t="shared" si="6"/>
        <v>0</v>
      </c>
      <c r="Y42" s="120">
        <f>'As-Filed Schedule 2L'!O42</f>
        <v>0</v>
      </c>
      <c r="Z42" s="313">
        <f>SUMIFS(Adjustments!$G:$G,Adjustments!$H:$H,"2L",Adjustments!$I:$I,'Schedule 2L Adjustments'!$Y$12,Adjustments!$J:$J,'Schedule 2L Adjustments'!$A42)</f>
        <v>0</v>
      </c>
      <c r="AA42" s="309">
        <f t="shared" si="7"/>
        <v>0</v>
      </c>
    </row>
    <row r="43" spans="1:27" x14ac:dyDescent="0.35">
      <c r="A43" s="24">
        <v>29</v>
      </c>
      <c r="B43" s="507" t="str">
        <f>IF('As-Filed Schedule 2L'!B43:D43=0,"",'As-Filed Schedule 2L'!B43:D43)</f>
        <v/>
      </c>
      <c r="C43" s="507"/>
      <c r="D43" s="507"/>
      <c r="F43" s="117">
        <f>'As-Filed Schedule 2L'!F43</f>
        <v>0</v>
      </c>
      <c r="G43" s="313">
        <f>SUMIFS(Adjustments!$G:$G,Adjustments!$H:$H,"2L",Adjustments!$I:$I,'Schedule 2L Adjustments'!$F$12,Adjustments!$J:$J,'Schedule 2L Adjustments'!$A43)</f>
        <v>0</v>
      </c>
      <c r="H43" s="309">
        <f t="shared" si="0"/>
        <v>0</v>
      </c>
      <c r="I43" s="68">
        <f>IFERROR(F43*'As-Filed Schedule 1'!$E$103,0)</f>
        <v>0</v>
      </c>
      <c r="J43" s="310">
        <f>IFERROR(H43*'Adjusted Schedule 1'!$E$104,0)</f>
        <v>0</v>
      </c>
      <c r="K43" s="68">
        <f t="shared" si="1"/>
        <v>0</v>
      </c>
      <c r="L43" s="310">
        <f t="shared" si="2"/>
        <v>0</v>
      </c>
      <c r="N43" s="117">
        <f>'As-Filed Schedule 2L'!J43</f>
        <v>0</v>
      </c>
      <c r="O43" s="313">
        <f>SUMIFS(Adjustments!$G:$G,Adjustments!$H:$H,"2L",Adjustments!$I:$I,'Schedule 2L Adjustments'!$N$12,Adjustments!$J:$J,'Schedule 2L Adjustments'!$A43)</f>
        <v>0</v>
      </c>
      <c r="P43" s="309">
        <f t="shared" si="3"/>
        <v>0</v>
      </c>
      <c r="Q43" s="68">
        <f>IFERROR(N43*'As-Filed Schedule 1'!$E$103,0)</f>
        <v>0</v>
      </c>
      <c r="R43" s="68">
        <f>IFERROR(P43*'Adjusted Schedule 1'!$E$104,0)</f>
        <v>0</v>
      </c>
      <c r="S43" s="68">
        <f t="shared" si="4"/>
        <v>0</v>
      </c>
      <c r="T43" s="310">
        <f t="shared" si="5"/>
        <v>0</v>
      </c>
      <c r="V43" s="120">
        <f>'As-Filed Schedule 2L'!N43</f>
        <v>0</v>
      </c>
      <c r="W43" s="313">
        <f>SUMIFS(Adjustments!$G:$G,Adjustments!$H:$H,"2L",Adjustments!$I:$I,'Schedule 2L Adjustments'!$V$12,Adjustments!$J:$J,'Schedule 2L Adjustments'!$A43)</f>
        <v>0</v>
      </c>
      <c r="X43" s="309">
        <f t="shared" si="6"/>
        <v>0</v>
      </c>
      <c r="Y43" s="120">
        <f>'As-Filed Schedule 2L'!O43</f>
        <v>0</v>
      </c>
      <c r="Z43" s="313">
        <f>SUMIFS(Adjustments!$G:$G,Adjustments!$H:$H,"2L",Adjustments!$I:$I,'Schedule 2L Adjustments'!$Y$12,Adjustments!$J:$J,'Schedule 2L Adjustments'!$A43)</f>
        <v>0</v>
      </c>
      <c r="AA43" s="309">
        <f t="shared" si="7"/>
        <v>0</v>
      </c>
    </row>
    <row r="44" spans="1:27" x14ac:dyDescent="0.35">
      <c r="A44" s="24">
        <v>30</v>
      </c>
      <c r="B44" s="507" t="str">
        <f>IF('As-Filed Schedule 2L'!B44:D44=0,"",'As-Filed Schedule 2L'!B44:D44)</f>
        <v/>
      </c>
      <c r="C44" s="507"/>
      <c r="D44" s="507"/>
      <c r="F44" s="117">
        <f>'As-Filed Schedule 2L'!F44</f>
        <v>0</v>
      </c>
      <c r="G44" s="313">
        <f>SUMIFS(Adjustments!$G:$G,Adjustments!$H:$H,"2L",Adjustments!$I:$I,'Schedule 2L Adjustments'!$F$12,Adjustments!$J:$J,'Schedule 2L Adjustments'!$A44)</f>
        <v>0</v>
      </c>
      <c r="H44" s="309">
        <f t="shared" si="0"/>
        <v>0</v>
      </c>
      <c r="I44" s="68">
        <f>IFERROR(F44*'As-Filed Schedule 1'!$E$103,0)</f>
        <v>0</v>
      </c>
      <c r="J44" s="310">
        <f>IFERROR(H44*'Adjusted Schedule 1'!$E$104,0)</f>
        <v>0</v>
      </c>
      <c r="K44" s="68">
        <f t="shared" si="1"/>
        <v>0</v>
      </c>
      <c r="L44" s="310">
        <f t="shared" si="2"/>
        <v>0</v>
      </c>
      <c r="N44" s="117">
        <f>'As-Filed Schedule 2L'!J44</f>
        <v>0</v>
      </c>
      <c r="O44" s="313">
        <f>SUMIFS(Adjustments!$G:$G,Adjustments!$H:$H,"2L",Adjustments!$I:$I,'Schedule 2L Adjustments'!$N$12,Adjustments!$J:$J,'Schedule 2L Adjustments'!$A44)</f>
        <v>0</v>
      </c>
      <c r="P44" s="309">
        <f t="shared" si="3"/>
        <v>0</v>
      </c>
      <c r="Q44" s="68">
        <f>IFERROR(N44*'As-Filed Schedule 1'!$E$103,0)</f>
        <v>0</v>
      </c>
      <c r="R44" s="68">
        <f>IFERROR(P44*'Adjusted Schedule 1'!$E$104,0)</f>
        <v>0</v>
      </c>
      <c r="S44" s="68">
        <f t="shared" si="4"/>
        <v>0</v>
      </c>
      <c r="T44" s="310">
        <f t="shared" si="5"/>
        <v>0</v>
      </c>
      <c r="V44" s="120">
        <f>'As-Filed Schedule 2L'!N44</f>
        <v>0</v>
      </c>
      <c r="W44" s="313">
        <f>SUMIFS(Adjustments!$G:$G,Adjustments!$H:$H,"2L",Adjustments!$I:$I,'Schedule 2L Adjustments'!$V$12,Adjustments!$J:$J,'Schedule 2L Adjustments'!$A44)</f>
        <v>0</v>
      </c>
      <c r="X44" s="309">
        <f t="shared" si="6"/>
        <v>0</v>
      </c>
      <c r="Y44" s="120">
        <f>'As-Filed Schedule 2L'!O44</f>
        <v>0</v>
      </c>
      <c r="Z44" s="313">
        <f>SUMIFS(Adjustments!$G:$G,Adjustments!$H:$H,"2L",Adjustments!$I:$I,'Schedule 2L Adjustments'!$Y$12,Adjustments!$J:$J,'Schedule 2L Adjustments'!$A44)</f>
        <v>0</v>
      </c>
      <c r="AA44" s="309">
        <f t="shared" si="7"/>
        <v>0</v>
      </c>
    </row>
    <row r="45" spans="1:27" x14ac:dyDescent="0.35">
      <c r="A45" s="24">
        <v>31</v>
      </c>
      <c r="B45" s="507" t="str">
        <f>IF('As-Filed Schedule 2L'!B45:D45=0,"",'As-Filed Schedule 2L'!B45:D45)</f>
        <v/>
      </c>
      <c r="C45" s="507"/>
      <c r="D45" s="507"/>
      <c r="F45" s="117">
        <f>'As-Filed Schedule 2L'!F45</f>
        <v>0</v>
      </c>
      <c r="G45" s="313">
        <f>SUMIFS(Adjustments!$G:$G,Adjustments!$H:$H,"2L",Adjustments!$I:$I,'Schedule 2L Adjustments'!$F$12,Adjustments!$J:$J,'Schedule 2L Adjustments'!$A45)</f>
        <v>0</v>
      </c>
      <c r="H45" s="309">
        <f t="shared" si="0"/>
        <v>0</v>
      </c>
      <c r="I45" s="68">
        <f>IFERROR(F45*'As-Filed Schedule 1'!$E$103,0)</f>
        <v>0</v>
      </c>
      <c r="J45" s="310">
        <f>IFERROR(H45*'Adjusted Schedule 1'!$E$104,0)</f>
        <v>0</v>
      </c>
      <c r="K45" s="68">
        <f t="shared" si="1"/>
        <v>0</v>
      </c>
      <c r="L45" s="310">
        <f t="shared" si="2"/>
        <v>0</v>
      </c>
      <c r="N45" s="117">
        <f>'As-Filed Schedule 2L'!J45</f>
        <v>0</v>
      </c>
      <c r="O45" s="313">
        <f>SUMIFS(Adjustments!$G:$G,Adjustments!$H:$H,"2L",Adjustments!$I:$I,'Schedule 2L Adjustments'!$N$12,Adjustments!$J:$J,'Schedule 2L Adjustments'!$A45)</f>
        <v>0</v>
      </c>
      <c r="P45" s="309">
        <f t="shared" si="3"/>
        <v>0</v>
      </c>
      <c r="Q45" s="68">
        <f>IFERROR(N45*'As-Filed Schedule 1'!$E$103,0)</f>
        <v>0</v>
      </c>
      <c r="R45" s="68">
        <f>IFERROR(P45*'Adjusted Schedule 1'!$E$104,0)</f>
        <v>0</v>
      </c>
      <c r="S45" s="68">
        <f t="shared" si="4"/>
        <v>0</v>
      </c>
      <c r="T45" s="310">
        <f t="shared" si="5"/>
        <v>0</v>
      </c>
      <c r="V45" s="120">
        <f>'As-Filed Schedule 2L'!N45</f>
        <v>0</v>
      </c>
      <c r="W45" s="313">
        <f>SUMIFS(Adjustments!$G:$G,Adjustments!$H:$H,"2L",Adjustments!$I:$I,'Schedule 2L Adjustments'!$V$12,Adjustments!$J:$J,'Schedule 2L Adjustments'!$A45)</f>
        <v>0</v>
      </c>
      <c r="X45" s="309">
        <f t="shared" si="6"/>
        <v>0</v>
      </c>
      <c r="Y45" s="120">
        <f>'As-Filed Schedule 2L'!O45</f>
        <v>0</v>
      </c>
      <c r="Z45" s="313">
        <f>SUMIFS(Adjustments!$G:$G,Adjustments!$H:$H,"2L",Adjustments!$I:$I,'Schedule 2L Adjustments'!$Y$12,Adjustments!$J:$J,'Schedule 2L Adjustments'!$A45)</f>
        <v>0</v>
      </c>
      <c r="AA45" s="309">
        <f t="shared" si="7"/>
        <v>0</v>
      </c>
    </row>
    <row r="46" spans="1:27" x14ac:dyDescent="0.35">
      <c r="A46" s="24">
        <v>32</v>
      </c>
      <c r="B46" s="507" t="str">
        <f>IF('As-Filed Schedule 2L'!B46:D46=0,"",'As-Filed Schedule 2L'!B46:D46)</f>
        <v/>
      </c>
      <c r="C46" s="507"/>
      <c r="D46" s="507"/>
      <c r="F46" s="117">
        <f>'As-Filed Schedule 2L'!F46</f>
        <v>0</v>
      </c>
      <c r="G46" s="313">
        <f>SUMIFS(Adjustments!$G:$G,Adjustments!$H:$H,"2L",Adjustments!$I:$I,'Schedule 2L Adjustments'!$F$12,Adjustments!$J:$J,'Schedule 2L Adjustments'!$A46)</f>
        <v>0</v>
      </c>
      <c r="H46" s="309">
        <f t="shared" si="0"/>
        <v>0</v>
      </c>
      <c r="I46" s="68">
        <f>IFERROR(F46*'As-Filed Schedule 1'!$E$103,0)</f>
        <v>0</v>
      </c>
      <c r="J46" s="310">
        <f>IFERROR(H46*'Adjusted Schedule 1'!$E$104,0)</f>
        <v>0</v>
      </c>
      <c r="K46" s="68">
        <f t="shared" si="1"/>
        <v>0</v>
      </c>
      <c r="L46" s="310">
        <f t="shared" si="2"/>
        <v>0</v>
      </c>
      <c r="N46" s="117">
        <f>'As-Filed Schedule 2L'!J46</f>
        <v>0</v>
      </c>
      <c r="O46" s="313">
        <f>SUMIFS(Adjustments!$G:$G,Adjustments!$H:$H,"2L",Adjustments!$I:$I,'Schedule 2L Adjustments'!$N$12,Adjustments!$J:$J,'Schedule 2L Adjustments'!$A46)</f>
        <v>0</v>
      </c>
      <c r="P46" s="309">
        <f t="shared" si="3"/>
        <v>0</v>
      </c>
      <c r="Q46" s="68">
        <f>IFERROR(N46*'As-Filed Schedule 1'!$E$103,0)</f>
        <v>0</v>
      </c>
      <c r="R46" s="68">
        <f>IFERROR(P46*'Adjusted Schedule 1'!$E$104,0)</f>
        <v>0</v>
      </c>
      <c r="S46" s="68">
        <f t="shared" si="4"/>
        <v>0</v>
      </c>
      <c r="T46" s="310">
        <f t="shared" si="5"/>
        <v>0</v>
      </c>
      <c r="V46" s="120">
        <f>'As-Filed Schedule 2L'!N46</f>
        <v>0</v>
      </c>
      <c r="W46" s="313">
        <f>SUMIFS(Adjustments!$G:$G,Adjustments!$H:$H,"2L",Adjustments!$I:$I,'Schedule 2L Adjustments'!$V$12,Adjustments!$J:$J,'Schedule 2L Adjustments'!$A46)</f>
        <v>0</v>
      </c>
      <c r="X46" s="309">
        <f t="shared" si="6"/>
        <v>0</v>
      </c>
      <c r="Y46" s="120">
        <f>'As-Filed Schedule 2L'!O46</f>
        <v>0</v>
      </c>
      <c r="Z46" s="313">
        <f>SUMIFS(Adjustments!$G:$G,Adjustments!$H:$H,"2L",Adjustments!$I:$I,'Schedule 2L Adjustments'!$Y$12,Adjustments!$J:$J,'Schedule 2L Adjustments'!$A46)</f>
        <v>0</v>
      </c>
      <c r="AA46" s="309">
        <f t="shared" si="7"/>
        <v>0</v>
      </c>
    </row>
    <row r="47" spans="1:27" x14ac:dyDescent="0.35">
      <c r="A47" s="24">
        <v>33</v>
      </c>
      <c r="B47" s="507" t="str">
        <f>IF('As-Filed Schedule 2L'!B47:D47=0,"",'As-Filed Schedule 2L'!B47:D47)</f>
        <v/>
      </c>
      <c r="C47" s="507"/>
      <c r="D47" s="507"/>
      <c r="F47" s="117">
        <f>'As-Filed Schedule 2L'!F47</f>
        <v>0</v>
      </c>
      <c r="G47" s="313">
        <f>SUMIFS(Adjustments!$G:$G,Adjustments!$H:$H,"2L",Adjustments!$I:$I,'Schedule 2L Adjustments'!$F$12,Adjustments!$J:$J,'Schedule 2L Adjustments'!$A47)</f>
        <v>0</v>
      </c>
      <c r="H47" s="309">
        <f t="shared" si="0"/>
        <v>0</v>
      </c>
      <c r="I47" s="68">
        <f>IFERROR(F47*'As-Filed Schedule 1'!$E$103,0)</f>
        <v>0</v>
      </c>
      <c r="J47" s="310">
        <f>IFERROR(H47*'Adjusted Schedule 1'!$E$104,0)</f>
        <v>0</v>
      </c>
      <c r="K47" s="68">
        <f t="shared" si="1"/>
        <v>0</v>
      </c>
      <c r="L47" s="310">
        <f t="shared" si="2"/>
        <v>0</v>
      </c>
      <c r="N47" s="117">
        <f>'As-Filed Schedule 2L'!J47</f>
        <v>0</v>
      </c>
      <c r="O47" s="313">
        <f>SUMIFS(Adjustments!$G:$G,Adjustments!$H:$H,"2L",Adjustments!$I:$I,'Schedule 2L Adjustments'!$N$12,Adjustments!$J:$J,'Schedule 2L Adjustments'!$A47)</f>
        <v>0</v>
      </c>
      <c r="P47" s="309">
        <f t="shared" si="3"/>
        <v>0</v>
      </c>
      <c r="Q47" s="68">
        <f>IFERROR(N47*'As-Filed Schedule 1'!$E$103,0)</f>
        <v>0</v>
      </c>
      <c r="R47" s="68">
        <f>IFERROR(P47*'Adjusted Schedule 1'!$E$104,0)</f>
        <v>0</v>
      </c>
      <c r="S47" s="68">
        <f t="shared" si="4"/>
        <v>0</v>
      </c>
      <c r="T47" s="310">
        <f t="shared" si="5"/>
        <v>0</v>
      </c>
      <c r="V47" s="120">
        <f>'As-Filed Schedule 2L'!N47</f>
        <v>0</v>
      </c>
      <c r="W47" s="313">
        <f>SUMIFS(Adjustments!$G:$G,Adjustments!$H:$H,"2L",Adjustments!$I:$I,'Schedule 2L Adjustments'!$V$12,Adjustments!$J:$J,'Schedule 2L Adjustments'!$A47)</f>
        <v>0</v>
      </c>
      <c r="X47" s="309">
        <f t="shared" si="6"/>
        <v>0</v>
      </c>
      <c r="Y47" s="120">
        <f>'As-Filed Schedule 2L'!O47</f>
        <v>0</v>
      </c>
      <c r="Z47" s="313">
        <f>SUMIFS(Adjustments!$G:$G,Adjustments!$H:$H,"2L",Adjustments!$I:$I,'Schedule 2L Adjustments'!$Y$12,Adjustments!$J:$J,'Schedule 2L Adjustments'!$A47)</f>
        <v>0</v>
      </c>
      <c r="AA47" s="309">
        <f t="shared" si="7"/>
        <v>0</v>
      </c>
    </row>
    <row r="48" spans="1:27" x14ac:dyDescent="0.35">
      <c r="A48" s="24">
        <v>34</v>
      </c>
      <c r="B48" s="507" t="str">
        <f>IF('As-Filed Schedule 2L'!B48:D48=0,"",'As-Filed Schedule 2L'!B48:D48)</f>
        <v/>
      </c>
      <c r="C48" s="507"/>
      <c r="D48" s="507"/>
      <c r="F48" s="117">
        <f>'As-Filed Schedule 2L'!F48</f>
        <v>0</v>
      </c>
      <c r="G48" s="313">
        <f>SUMIFS(Adjustments!$G:$G,Adjustments!$H:$H,"2L",Adjustments!$I:$I,'Schedule 2L Adjustments'!$F$12,Adjustments!$J:$J,'Schedule 2L Adjustments'!$A48)</f>
        <v>0</v>
      </c>
      <c r="H48" s="309">
        <f t="shared" si="0"/>
        <v>0</v>
      </c>
      <c r="I48" s="68">
        <f>IFERROR(F48*'As-Filed Schedule 1'!$E$103,0)</f>
        <v>0</v>
      </c>
      <c r="J48" s="310">
        <f>IFERROR(H48*'Adjusted Schedule 1'!$E$104,0)</f>
        <v>0</v>
      </c>
      <c r="K48" s="68">
        <f t="shared" si="1"/>
        <v>0</v>
      </c>
      <c r="L48" s="310">
        <f t="shared" si="2"/>
        <v>0</v>
      </c>
      <c r="N48" s="117">
        <f>'As-Filed Schedule 2L'!J48</f>
        <v>0</v>
      </c>
      <c r="O48" s="313">
        <f>SUMIFS(Adjustments!$G:$G,Adjustments!$H:$H,"2L",Adjustments!$I:$I,'Schedule 2L Adjustments'!$N$12,Adjustments!$J:$J,'Schedule 2L Adjustments'!$A48)</f>
        <v>0</v>
      </c>
      <c r="P48" s="309">
        <f t="shared" si="3"/>
        <v>0</v>
      </c>
      <c r="Q48" s="68">
        <f>IFERROR(N48*'As-Filed Schedule 1'!$E$103,0)</f>
        <v>0</v>
      </c>
      <c r="R48" s="68">
        <f>IFERROR(P48*'Adjusted Schedule 1'!$E$104,0)</f>
        <v>0</v>
      </c>
      <c r="S48" s="68">
        <f t="shared" si="4"/>
        <v>0</v>
      </c>
      <c r="T48" s="310">
        <f t="shared" si="5"/>
        <v>0</v>
      </c>
      <c r="V48" s="120">
        <f>'As-Filed Schedule 2L'!N48</f>
        <v>0</v>
      </c>
      <c r="W48" s="313">
        <f>SUMIFS(Adjustments!$G:$G,Adjustments!$H:$H,"2L",Adjustments!$I:$I,'Schedule 2L Adjustments'!$V$12,Adjustments!$J:$J,'Schedule 2L Adjustments'!$A48)</f>
        <v>0</v>
      </c>
      <c r="X48" s="309">
        <f t="shared" si="6"/>
        <v>0</v>
      </c>
      <c r="Y48" s="120">
        <f>'As-Filed Schedule 2L'!O48</f>
        <v>0</v>
      </c>
      <c r="Z48" s="313">
        <f>SUMIFS(Adjustments!$G:$G,Adjustments!$H:$H,"2L",Adjustments!$I:$I,'Schedule 2L Adjustments'!$Y$12,Adjustments!$J:$J,'Schedule 2L Adjustments'!$A48)</f>
        <v>0</v>
      </c>
      <c r="AA48" s="309">
        <f t="shared" si="7"/>
        <v>0</v>
      </c>
    </row>
    <row r="49" spans="1:27" x14ac:dyDescent="0.35">
      <c r="A49" s="24">
        <v>35</v>
      </c>
      <c r="B49" s="507" t="str">
        <f>IF('As-Filed Schedule 2L'!B49:D49=0,"",'As-Filed Schedule 2L'!B49:D49)</f>
        <v/>
      </c>
      <c r="C49" s="507"/>
      <c r="D49" s="507"/>
      <c r="F49" s="117">
        <f>'As-Filed Schedule 2L'!F49</f>
        <v>0</v>
      </c>
      <c r="G49" s="313">
        <f>SUMIFS(Adjustments!$G:$G,Adjustments!$H:$H,"2L",Adjustments!$I:$I,'Schedule 2L Adjustments'!$F$12,Adjustments!$J:$J,'Schedule 2L Adjustments'!$A49)</f>
        <v>0</v>
      </c>
      <c r="H49" s="309">
        <f t="shared" si="0"/>
        <v>0</v>
      </c>
      <c r="I49" s="68">
        <f>IFERROR(F49*'As-Filed Schedule 1'!$E$103,0)</f>
        <v>0</v>
      </c>
      <c r="J49" s="310">
        <f>IFERROR(H49*'Adjusted Schedule 1'!$E$104,0)</f>
        <v>0</v>
      </c>
      <c r="K49" s="68">
        <f t="shared" si="1"/>
        <v>0</v>
      </c>
      <c r="L49" s="310">
        <f t="shared" si="2"/>
        <v>0</v>
      </c>
      <c r="N49" s="117">
        <f>'As-Filed Schedule 2L'!J49</f>
        <v>0</v>
      </c>
      <c r="O49" s="313">
        <f>SUMIFS(Adjustments!$G:$G,Adjustments!$H:$H,"2L",Adjustments!$I:$I,'Schedule 2L Adjustments'!$N$12,Adjustments!$J:$J,'Schedule 2L Adjustments'!$A49)</f>
        <v>0</v>
      </c>
      <c r="P49" s="309">
        <f t="shared" si="3"/>
        <v>0</v>
      </c>
      <c r="Q49" s="68">
        <f>IFERROR(N49*'As-Filed Schedule 1'!$E$103,0)</f>
        <v>0</v>
      </c>
      <c r="R49" s="68">
        <f>IFERROR(P49*'Adjusted Schedule 1'!$E$104,0)</f>
        <v>0</v>
      </c>
      <c r="S49" s="68">
        <f t="shared" si="4"/>
        <v>0</v>
      </c>
      <c r="T49" s="310">
        <f t="shared" si="5"/>
        <v>0</v>
      </c>
      <c r="V49" s="120">
        <f>'As-Filed Schedule 2L'!N49</f>
        <v>0</v>
      </c>
      <c r="W49" s="313">
        <f>SUMIFS(Adjustments!$G:$G,Adjustments!$H:$H,"2L",Adjustments!$I:$I,'Schedule 2L Adjustments'!$V$12,Adjustments!$J:$J,'Schedule 2L Adjustments'!$A49)</f>
        <v>0</v>
      </c>
      <c r="X49" s="309">
        <f t="shared" si="6"/>
        <v>0</v>
      </c>
      <c r="Y49" s="120">
        <f>'As-Filed Schedule 2L'!O49</f>
        <v>0</v>
      </c>
      <c r="Z49" s="313">
        <f>SUMIFS(Adjustments!$G:$G,Adjustments!$H:$H,"2L",Adjustments!$I:$I,'Schedule 2L Adjustments'!$Y$12,Adjustments!$J:$J,'Schedule 2L Adjustments'!$A49)</f>
        <v>0</v>
      </c>
      <c r="AA49" s="309">
        <f t="shared" si="7"/>
        <v>0</v>
      </c>
    </row>
    <row r="50" spans="1:27" x14ac:dyDescent="0.35">
      <c r="A50" s="24">
        <v>36</v>
      </c>
      <c r="B50" s="507" t="str">
        <f>IF('As-Filed Schedule 2L'!B50:D50=0,"",'As-Filed Schedule 2L'!B50:D50)</f>
        <v/>
      </c>
      <c r="C50" s="507"/>
      <c r="D50" s="507"/>
      <c r="F50" s="117">
        <f>'As-Filed Schedule 2L'!F50</f>
        <v>0</v>
      </c>
      <c r="G50" s="313">
        <f>SUMIFS(Adjustments!$G:$G,Adjustments!$H:$H,"2L",Adjustments!$I:$I,'Schedule 2L Adjustments'!$F$12,Adjustments!$J:$J,'Schedule 2L Adjustments'!$A50)</f>
        <v>0</v>
      </c>
      <c r="H50" s="309">
        <f t="shared" si="0"/>
        <v>0</v>
      </c>
      <c r="I50" s="68">
        <f>IFERROR(F50*'As-Filed Schedule 1'!$E$103,0)</f>
        <v>0</v>
      </c>
      <c r="J50" s="310">
        <f>IFERROR(H50*'Adjusted Schedule 1'!$E$104,0)</f>
        <v>0</v>
      </c>
      <c r="K50" s="68">
        <f t="shared" si="1"/>
        <v>0</v>
      </c>
      <c r="L50" s="310">
        <f t="shared" si="2"/>
        <v>0</v>
      </c>
      <c r="N50" s="117">
        <f>'As-Filed Schedule 2L'!J50</f>
        <v>0</v>
      </c>
      <c r="O50" s="313">
        <f>SUMIFS(Adjustments!$G:$G,Adjustments!$H:$H,"2L",Adjustments!$I:$I,'Schedule 2L Adjustments'!$N$12,Adjustments!$J:$J,'Schedule 2L Adjustments'!$A50)</f>
        <v>0</v>
      </c>
      <c r="P50" s="309">
        <f t="shared" si="3"/>
        <v>0</v>
      </c>
      <c r="Q50" s="68">
        <f>IFERROR(N50*'As-Filed Schedule 1'!$E$103,0)</f>
        <v>0</v>
      </c>
      <c r="R50" s="68">
        <f>IFERROR(P50*'Adjusted Schedule 1'!$E$104,0)</f>
        <v>0</v>
      </c>
      <c r="S50" s="68">
        <f t="shared" si="4"/>
        <v>0</v>
      </c>
      <c r="T50" s="310">
        <f t="shared" si="5"/>
        <v>0</v>
      </c>
      <c r="V50" s="120">
        <f>'As-Filed Schedule 2L'!N50</f>
        <v>0</v>
      </c>
      <c r="W50" s="313">
        <f>SUMIFS(Adjustments!$G:$G,Adjustments!$H:$H,"2L",Adjustments!$I:$I,'Schedule 2L Adjustments'!$V$12,Adjustments!$J:$J,'Schedule 2L Adjustments'!$A50)</f>
        <v>0</v>
      </c>
      <c r="X50" s="309">
        <f t="shared" si="6"/>
        <v>0</v>
      </c>
      <c r="Y50" s="120">
        <f>'As-Filed Schedule 2L'!O50</f>
        <v>0</v>
      </c>
      <c r="Z50" s="313">
        <f>SUMIFS(Adjustments!$G:$G,Adjustments!$H:$H,"2L",Adjustments!$I:$I,'Schedule 2L Adjustments'!$Y$12,Adjustments!$J:$J,'Schedule 2L Adjustments'!$A50)</f>
        <v>0</v>
      </c>
      <c r="AA50" s="309">
        <f t="shared" si="7"/>
        <v>0</v>
      </c>
    </row>
    <row r="51" spans="1:27" x14ac:dyDescent="0.35">
      <c r="A51" s="24">
        <v>37</v>
      </c>
      <c r="B51" s="507" t="str">
        <f>IF('As-Filed Schedule 2L'!B51:D51=0,"",'As-Filed Schedule 2L'!B51:D51)</f>
        <v/>
      </c>
      <c r="C51" s="507"/>
      <c r="D51" s="507"/>
      <c r="F51" s="117">
        <f>'As-Filed Schedule 2L'!F51</f>
        <v>0</v>
      </c>
      <c r="G51" s="313">
        <f>SUMIFS(Adjustments!$G:$G,Adjustments!$H:$H,"2L",Adjustments!$I:$I,'Schedule 2L Adjustments'!$F$12,Adjustments!$J:$J,'Schedule 2L Adjustments'!$A51)</f>
        <v>0</v>
      </c>
      <c r="H51" s="309">
        <f t="shared" si="0"/>
        <v>0</v>
      </c>
      <c r="I51" s="68">
        <f>IFERROR(F51*'As-Filed Schedule 1'!$E$103,0)</f>
        <v>0</v>
      </c>
      <c r="J51" s="310">
        <f>IFERROR(H51*'Adjusted Schedule 1'!$E$104,0)</f>
        <v>0</v>
      </c>
      <c r="K51" s="68">
        <f t="shared" si="1"/>
        <v>0</v>
      </c>
      <c r="L51" s="310">
        <f t="shared" si="2"/>
        <v>0</v>
      </c>
      <c r="N51" s="117">
        <f>'As-Filed Schedule 2L'!J51</f>
        <v>0</v>
      </c>
      <c r="O51" s="313">
        <f>SUMIFS(Adjustments!$G:$G,Adjustments!$H:$H,"2L",Adjustments!$I:$I,'Schedule 2L Adjustments'!$N$12,Adjustments!$J:$J,'Schedule 2L Adjustments'!$A51)</f>
        <v>0</v>
      </c>
      <c r="P51" s="309">
        <f t="shared" si="3"/>
        <v>0</v>
      </c>
      <c r="Q51" s="68">
        <f>IFERROR(N51*'As-Filed Schedule 1'!$E$103,0)</f>
        <v>0</v>
      </c>
      <c r="R51" s="68">
        <f>IFERROR(P51*'Adjusted Schedule 1'!$E$104,0)</f>
        <v>0</v>
      </c>
      <c r="S51" s="68">
        <f t="shared" si="4"/>
        <v>0</v>
      </c>
      <c r="T51" s="310">
        <f t="shared" si="5"/>
        <v>0</v>
      </c>
      <c r="V51" s="120">
        <f>'As-Filed Schedule 2L'!N51</f>
        <v>0</v>
      </c>
      <c r="W51" s="313">
        <f>SUMIFS(Adjustments!$G:$G,Adjustments!$H:$H,"2L",Adjustments!$I:$I,'Schedule 2L Adjustments'!$V$12,Adjustments!$J:$J,'Schedule 2L Adjustments'!$A51)</f>
        <v>0</v>
      </c>
      <c r="X51" s="309">
        <f t="shared" si="6"/>
        <v>0</v>
      </c>
      <c r="Y51" s="120">
        <f>'As-Filed Schedule 2L'!O51</f>
        <v>0</v>
      </c>
      <c r="Z51" s="313">
        <f>SUMIFS(Adjustments!$G:$G,Adjustments!$H:$H,"2L",Adjustments!$I:$I,'Schedule 2L Adjustments'!$Y$12,Adjustments!$J:$J,'Schedule 2L Adjustments'!$A51)</f>
        <v>0</v>
      </c>
      <c r="AA51" s="309">
        <f t="shared" si="7"/>
        <v>0</v>
      </c>
    </row>
    <row r="52" spans="1:27" x14ac:dyDescent="0.35">
      <c r="A52" s="24">
        <v>38</v>
      </c>
      <c r="B52" s="507" t="str">
        <f>IF('As-Filed Schedule 2L'!B52:D52=0,"",'As-Filed Schedule 2L'!B52:D52)</f>
        <v/>
      </c>
      <c r="C52" s="507"/>
      <c r="D52" s="507"/>
      <c r="F52" s="117">
        <f>'As-Filed Schedule 2L'!F52</f>
        <v>0</v>
      </c>
      <c r="G52" s="313">
        <f>SUMIFS(Adjustments!$G:$G,Adjustments!$H:$H,"2L",Adjustments!$I:$I,'Schedule 2L Adjustments'!$F$12,Adjustments!$J:$J,'Schedule 2L Adjustments'!$A52)</f>
        <v>0</v>
      </c>
      <c r="H52" s="309">
        <f t="shared" si="0"/>
        <v>0</v>
      </c>
      <c r="I52" s="68">
        <f>IFERROR(F52*'As-Filed Schedule 1'!$E$103,0)</f>
        <v>0</v>
      </c>
      <c r="J52" s="310">
        <f>IFERROR(H52*'Adjusted Schedule 1'!$E$104,0)</f>
        <v>0</v>
      </c>
      <c r="K52" s="68">
        <f t="shared" si="1"/>
        <v>0</v>
      </c>
      <c r="L52" s="310">
        <f t="shared" si="2"/>
        <v>0</v>
      </c>
      <c r="N52" s="117">
        <f>'As-Filed Schedule 2L'!J52</f>
        <v>0</v>
      </c>
      <c r="O52" s="313">
        <f>SUMIFS(Adjustments!$G:$G,Adjustments!$H:$H,"2L",Adjustments!$I:$I,'Schedule 2L Adjustments'!$N$12,Adjustments!$J:$J,'Schedule 2L Adjustments'!$A52)</f>
        <v>0</v>
      </c>
      <c r="P52" s="309">
        <f t="shared" si="3"/>
        <v>0</v>
      </c>
      <c r="Q52" s="68">
        <f>IFERROR(N52*'As-Filed Schedule 1'!$E$103,0)</f>
        <v>0</v>
      </c>
      <c r="R52" s="68">
        <f>IFERROR(P52*'Adjusted Schedule 1'!$E$104,0)</f>
        <v>0</v>
      </c>
      <c r="S52" s="68">
        <f t="shared" si="4"/>
        <v>0</v>
      </c>
      <c r="T52" s="310">
        <f t="shared" si="5"/>
        <v>0</v>
      </c>
      <c r="V52" s="120">
        <f>'As-Filed Schedule 2L'!N52</f>
        <v>0</v>
      </c>
      <c r="W52" s="313">
        <f>SUMIFS(Adjustments!$G:$G,Adjustments!$H:$H,"2L",Adjustments!$I:$I,'Schedule 2L Adjustments'!$V$12,Adjustments!$J:$J,'Schedule 2L Adjustments'!$A52)</f>
        <v>0</v>
      </c>
      <c r="X52" s="309">
        <f t="shared" si="6"/>
        <v>0</v>
      </c>
      <c r="Y52" s="120">
        <f>'As-Filed Schedule 2L'!O52</f>
        <v>0</v>
      </c>
      <c r="Z52" s="313">
        <f>SUMIFS(Adjustments!$G:$G,Adjustments!$H:$H,"2L",Adjustments!$I:$I,'Schedule 2L Adjustments'!$Y$12,Adjustments!$J:$J,'Schedule 2L Adjustments'!$A52)</f>
        <v>0</v>
      </c>
      <c r="AA52" s="309">
        <f t="shared" si="7"/>
        <v>0</v>
      </c>
    </row>
    <row r="53" spans="1:27" x14ac:dyDescent="0.35">
      <c r="A53" s="24">
        <v>39</v>
      </c>
      <c r="B53" s="507" t="str">
        <f>IF('As-Filed Schedule 2L'!B53:D53=0,"",'As-Filed Schedule 2L'!B53:D53)</f>
        <v/>
      </c>
      <c r="C53" s="507"/>
      <c r="D53" s="507"/>
      <c r="F53" s="117">
        <f>'As-Filed Schedule 2L'!F53</f>
        <v>0</v>
      </c>
      <c r="G53" s="313">
        <f>SUMIFS(Adjustments!$G:$G,Adjustments!$H:$H,"2L",Adjustments!$I:$I,'Schedule 2L Adjustments'!$F$12,Adjustments!$J:$J,'Schedule 2L Adjustments'!$A53)</f>
        <v>0</v>
      </c>
      <c r="H53" s="309">
        <f t="shared" si="0"/>
        <v>0</v>
      </c>
      <c r="I53" s="68">
        <f>IFERROR(F53*'As-Filed Schedule 1'!$E$103,0)</f>
        <v>0</v>
      </c>
      <c r="J53" s="310">
        <f>IFERROR(H53*'Adjusted Schedule 1'!$E$104,0)</f>
        <v>0</v>
      </c>
      <c r="K53" s="68">
        <f t="shared" si="1"/>
        <v>0</v>
      </c>
      <c r="L53" s="310">
        <f t="shared" si="2"/>
        <v>0</v>
      </c>
      <c r="N53" s="117">
        <f>'As-Filed Schedule 2L'!J53</f>
        <v>0</v>
      </c>
      <c r="O53" s="313">
        <f>SUMIFS(Adjustments!$G:$G,Adjustments!$H:$H,"2L",Adjustments!$I:$I,'Schedule 2L Adjustments'!$N$12,Adjustments!$J:$J,'Schedule 2L Adjustments'!$A53)</f>
        <v>0</v>
      </c>
      <c r="P53" s="309">
        <f t="shared" si="3"/>
        <v>0</v>
      </c>
      <c r="Q53" s="68">
        <f>IFERROR(N53*'As-Filed Schedule 1'!$E$103,0)</f>
        <v>0</v>
      </c>
      <c r="R53" s="68">
        <f>IFERROR(P53*'Adjusted Schedule 1'!$E$104,0)</f>
        <v>0</v>
      </c>
      <c r="S53" s="68">
        <f t="shared" si="4"/>
        <v>0</v>
      </c>
      <c r="T53" s="310">
        <f t="shared" si="5"/>
        <v>0</v>
      </c>
      <c r="V53" s="120">
        <f>'As-Filed Schedule 2L'!N53</f>
        <v>0</v>
      </c>
      <c r="W53" s="313">
        <f>SUMIFS(Adjustments!$G:$G,Adjustments!$H:$H,"2L",Adjustments!$I:$I,'Schedule 2L Adjustments'!$V$12,Adjustments!$J:$J,'Schedule 2L Adjustments'!$A53)</f>
        <v>0</v>
      </c>
      <c r="X53" s="309">
        <f t="shared" si="6"/>
        <v>0</v>
      </c>
      <c r="Y53" s="120">
        <f>'As-Filed Schedule 2L'!O53</f>
        <v>0</v>
      </c>
      <c r="Z53" s="313">
        <f>SUMIFS(Adjustments!$G:$G,Adjustments!$H:$H,"2L",Adjustments!$I:$I,'Schedule 2L Adjustments'!$Y$12,Adjustments!$J:$J,'Schedule 2L Adjustments'!$A53)</f>
        <v>0</v>
      </c>
      <c r="AA53" s="309">
        <f t="shared" si="7"/>
        <v>0</v>
      </c>
    </row>
    <row r="54" spans="1:27" x14ac:dyDescent="0.35">
      <c r="A54" s="24">
        <v>40</v>
      </c>
      <c r="B54" s="507" t="str">
        <f>IF('As-Filed Schedule 2L'!B54:D54=0,"",'As-Filed Schedule 2L'!B54:D54)</f>
        <v/>
      </c>
      <c r="C54" s="507"/>
      <c r="D54" s="507"/>
      <c r="F54" s="117">
        <f>'As-Filed Schedule 2L'!F54</f>
        <v>0</v>
      </c>
      <c r="G54" s="313">
        <f>SUMIFS(Adjustments!$G:$G,Adjustments!$H:$H,"2L",Adjustments!$I:$I,'Schedule 2L Adjustments'!$F$12,Adjustments!$J:$J,'Schedule 2L Adjustments'!$A54)</f>
        <v>0</v>
      </c>
      <c r="H54" s="309">
        <f t="shared" si="0"/>
        <v>0</v>
      </c>
      <c r="I54" s="68">
        <f>IFERROR(F54*'As-Filed Schedule 1'!$E$103,0)</f>
        <v>0</v>
      </c>
      <c r="J54" s="310">
        <f>IFERROR(H54*'Adjusted Schedule 1'!$E$104,0)</f>
        <v>0</v>
      </c>
      <c r="K54" s="68">
        <f t="shared" si="1"/>
        <v>0</v>
      </c>
      <c r="L54" s="310">
        <f t="shared" si="2"/>
        <v>0</v>
      </c>
      <c r="N54" s="117">
        <f>'As-Filed Schedule 2L'!J54</f>
        <v>0</v>
      </c>
      <c r="O54" s="313">
        <f>SUMIFS(Adjustments!$G:$G,Adjustments!$H:$H,"2L",Adjustments!$I:$I,'Schedule 2L Adjustments'!$N$12,Adjustments!$J:$J,'Schedule 2L Adjustments'!$A54)</f>
        <v>0</v>
      </c>
      <c r="P54" s="309">
        <f t="shared" si="3"/>
        <v>0</v>
      </c>
      <c r="Q54" s="68">
        <f>IFERROR(N54*'As-Filed Schedule 1'!$E$103,0)</f>
        <v>0</v>
      </c>
      <c r="R54" s="68">
        <f>IFERROR(P54*'Adjusted Schedule 1'!$E$104,0)</f>
        <v>0</v>
      </c>
      <c r="S54" s="68">
        <f t="shared" si="4"/>
        <v>0</v>
      </c>
      <c r="T54" s="310">
        <f t="shared" si="5"/>
        <v>0</v>
      </c>
      <c r="V54" s="120">
        <f>'As-Filed Schedule 2L'!N54</f>
        <v>0</v>
      </c>
      <c r="W54" s="313">
        <f>SUMIFS(Adjustments!$G:$G,Adjustments!$H:$H,"2L",Adjustments!$I:$I,'Schedule 2L Adjustments'!$V$12,Adjustments!$J:$J,'Schedule 2L Adjustments'!$A54)</f>
        <v>0</v>
      </c>
      <c r="X54" s="309">
        <f t="shared" si="6"/>
        <v>0</v>
      </c>
      <c r="Y54" s="120">
        <f>'As-Filed Schedule 2L'!O54</f>
        <v>0</v>
      </c>
      <c r="Z54" s="313">
        <f>SUMIFS(Adjustments!$G:$G,Adjustments!$H:$H,"2L",Adjustments!$I:$I,'Schedule 2L Adjustments'!$Y$12,Adjustments!$J:$J,'Schedule 2L Adjustments'!$A54)</f>
        <v>0</v>
      </c>
      <c r="AA54" s="309">
        <f t="shared" si="7"/>
        <v>0</v>
      </c>
    </row>
    <row r="55" spans="1:27" x14ac:dyDescent="0.35">
      <c r="A55" s="24">
        <v>41</v>
      </c>
      <c r="B55" s="507" t="str">
        <f>IF('As-Filed Schedule 2L'!B55:D55=0,"",'As-Filed Schedule 2L'!B55:D55)</f>
        <v/>
      </c>
      <c r="C55" s="507"/>
      <c r="D55" s="507"/>
      <c r="F55" s="117">
        <f>'As-Filed Schedule 2L'!F55</f>
        <v>0</v>
      </c>
      <c r="G55" s="313">
        <f>SUMIFS(Adjustments!$G:$G,Adjustments!$H:$H,"2L",Adjustments!$I:$I,'Schedule 2L Adjustments'!$F$12,Adjustments!$J:$J,'Schedule 2L Adjustments'!$A55)</f>
        <v>0</v>
      </c>
      <c r="H55" s="309">
        <f t="shared" si="0"/>
        <v>0</v>
      </c>
      <c r="I55" s="68">
        <f>IFERROR(F55*'As-Filed Schedule 1'!$E$103,0)</f>
        <v>0</v>
      </c>
      <c r="J55" s="310">
        <f>IFERROR(H55*'Adjusted Schedule 1'!$E$104,0)</f>
        <v>0</v>
      </c>
      <c r="K55" s="68">
        <f t="shared" si="1"/>
        <v>0</v>
      </c>
      <c r="L55" s="310">
        <f t="shared" si="2"/>
        <v>0</v>
      </c>
      <c r="N55" s="117">
        <f>'As-Filed Schedule 2L'!J55</f>
        <v>0</v>
      </c>
      <c r="O55" s="313">
        <f>SUMIFS(Adjustments!$G:$G,Adjustments!$H:$H,"2L",Adjustments!$I:$I,'Schedule 2L Adjustments'!$N$12,Adjustments!$J:$J,'Schedule 2L Adjustments'!$A55)</f>
        <v>0</v>
      </c>
      <c r="P55" s="309">
        <f t="shared" si="3"/>
        <v>0</v>
      </c>
      <c r="Q55" s="68">
        <f>IFERROR(N55*'As-Filed Schedule 1'!$E$103,0)</f>
        <v>0</v>
      </c>
      <c r="R55" s="68">
        <f>IFERROR(P55*'Adjusted Schedule 1'!$E$104,0)</f>
        <v>0</v>
      </c>
      <c r="S55" s="68">
        <f t="shared" si="4"/>
        <v>0</v>
      </c>
      <c r="T55" s="310">
        <f t="shared" si="5"/>
        <v>0</v>
      </c>
      <c r="V55" s="120">
        <f>'As-Filed Schedule 2L'!N55</f>
        <v>0</v>
      </c>
      <c r="W55" s="313">
        <f>SUMIFS(Adjustments!$G:$G,Adjustments!$H:$H,"2L",Adjustments!$I:$I,'Schedule 2L Adjustments'!$V$12,Adjustments!$J:$J,'Schedule 2L Adjustments'!$A55)</f>
        <v>0</v>
      </c>
      <c r="X55" s="309">
        <f t="shared" si="6"/>
        <v>0</v>
      </c>
      <c r="Y55" s="120">
        <f>'As-Filed Schedule 2L'!O55</f>
        <v>0</v>
      </c>
      <c r="Z55" s="313">
        <f>SUMIFS(Adjustments!$G:$G,Adjustments!$H:$H,"2L",Adjustments!$I:$I,'Schedule 2L Adjustments'!$Y$12,Adjustments!$J:$J,'Schedule 2L Adjustments'!$A55)</f>
        <v>0</v>
      </c>
      <c r="AA55" s="309">
        <f t="shared" si="7"/>
        <v>0</v>
      </c>
    </row>
    <row r="56" spans="1:27" x14ac:dyDescent="0.35">
      <c r="A56" s="24">
        <v>42</v>
      </c>
      <c r="B56" s="507" t="str">
        <f>IF('As-Filed Schedule 2L'!B56:D56=0,"",'As-Filed Schedule 2L'!B56:D56)</f>
        <v/>
      </c>
      <c r="C56" s="507"/>
      <c r="D56" s="507"/>
      <c r="F56" s="117">
        <f>'As-Filed Schedule 2L'!F56</f>
        <v>0</v>
      </c>
      <c r="G56" s="313">
        <f>SUMIFS(Adjustments!$G:$G,Adjustments!$H:$H,"2L",Adjustments!$I:$I,'Schedule 2L Adjustments'!$F$12,Adjustments!$J:$J,'Schedule 2L Adjustments'!$A56)</f>
        <v>0</v>
      </c>
      <c r="H56" s="309">
        <f t="shared" si="0"/>
        <v>0</v>
      </c>
      <c r="I56" s="68">
        <f>IFERROR(F56*'As-Filed Schedule 1'!$E$103,0)</f>
        <v>0</v>
      </c>
      <c r="J56" s="310">
        <f>IFERROR(H56*'Adjusted Schedule 1'!$E$104,0)</f>
        <v>0</v>
      </c>
      <c r="K56" s="68">
        <f t="shared" si="1"/>
        <v>0</v>
      </c>
      <c r="L56" s="310">
        <f t="shared" si="2"/>
        <v>0</v>
      </c>
      <c r="N56" s="117">
        <f>'As-Filed Schedule 2L'!J56</f>
        <v>0</v>
      </c>
      <c r="O56" s="313">
        <f>SUMIFS(Adjustments!$G:$G,Adjustments!$H:$H,"2L",Adjustments!$I:$I,'Schedule 2L Adjustments'!$N$12,Adjustments!$J:$J,'Schedule 2L Adjustments'!$A56)</f>
        <v>0</v>
      </c>
      <c r="P56" s="309">
        <f t="shared" si="3"/>
        <v>0</v>
      </c>
      <c r="Q56" s="68">
        <f>IFERROR(N56*'As-Filed Schedule 1'!$E$103,0)</f>
        <v>0</v>
      </c>
      <c r="R56" s="68">
        <f>IFERROR(P56*'Adjusted Schedule 1'!$E$104,0)</f>
        <v>0</v>
      </c>
      <c r="S56" s="68">
        <f t="shared" si="4"/>
        <v>0</v>
      </c>
      <c r="T56" s="310">
        <f t="shared" si="5"/>
        <v>0</v>
      </c>
      <c r="V56" s="120">
        <f>'As-Filed Schedule 2L'!N56</f>
        <v>0</v>
      </c>
      <c r="W56" s="313">
        <f>SUMIFS(Adjustments!$G:$G,Adjustments!$H:$H,"2L",Adjustments!$I:$I,'Schedule 2L Adjustments'!$V$12,Adjustments!$J:$J,'Schedule 2L Adjustments'!$A56)</f>
        <v>0</v>
      </c>
      <c r="X56" s="309">
        <f t="shared" si="6"/>
        <v>0</v>
      </c>
      <c r="Y56" s="120">
        <f>'As-Filed Schedule 2L'!O56</f>
        <v>0</v>
      </c>
      <c r="Z56" s="313">
        <f>SUMIFS(Adjustments!$G:$G,Adjustments!$H:$H,"2L",Adjustments!$I:$I,'Schedule 2L Adjustments'!$Y$12,Adjustments!$J:$J,'Schedule 2L Adjustments'!$A56)</f>
        <v>0</v>
      </c>
      <c r="AA56" s="309">
        <f t="shared" si="7"/>
        <v>0</v>
      </c>
    </row>
    <row r="57" spans="1:27" x14ac:dyDescent="0.35">
      <c r="A57" s="24">
        <v>43</v>
      </c>
      <c r="B57" s="507" t="str">
        <f>IF('As-Filed Schedule 2L'!B57:D57=0,"",'As-Filed Schedule 2L'!B57:D57)</f>
        <v/>
      </c>
      <c r="C57" s="507"/>
      <c r="D57" s="507"/>
      <c r="F57" s="117">
        <f>'As-Filed Schedule 2L'!F57</f>
        <v>0</v>
      </c>
      <c r="G57" s="313">
        <f>SUMIFS(Adjustments!$G:$G,Adjustments!$H:$H,"2L",Adjustments!$I:$I,'Schedule 2L Adjustments'!$F$12,Adjustments!$J:$J,'Schedule 2L Adjustments'!$A57)</f>
        <v>0</v>
      </c>
      <c r="H57" s="309">
        <f t="shared" si="0"/>
        <v>0</v>
      </c>
      <c r="I57" s="68">
        <f>IFERROR(F57*'As-Filed Schedule 1'!$E$103,0)</f>
        <v>0</v>
      </c>
      <c r="J57" s="310">
        <f>IFERROR(H57*'Adjusted Schedule 1'!$E$104,0)</f>
        <v>0</v>
      </c>
      <c r="K57" s="68">
        <f t="shared" si="1"/>
        <v>0</v>
      </c>
      <c r="L57" s="310">
        <f t="shared" si="2"/>
        <v>0</v>
      </c>
      <c r="N57" s="117">
        <f>'As-Filed Schedule 2L'!J57</f>
        <v>0</v>
      </c>
      <c r="O57" s="313">
        <f>SUMIFS(Adjustments!$G:$G,Adjustments!$H:$H,"2L",Adjustments!$I:$I,'Schedule 2L Adjustments'!$N$12,Adjustments!$J:$J,'Schedule 2L Adjustments'!$A57)</f>
        <v>0</v>
      </c>
      <c r="P57" s="309">
        <f t="shared" si="3"/>
        <v>0</v>
      </c>
      <c r="Q57" s="68">
        <f>IFERROR(N57*'As-Filed Schedule 1'!$E$103,0)</f>
        <v>0</v>
      </c>
      <c r="R57" s="68">
        <f>IFERROR(P57*'Adjusted Schedule 1'!$E$104,0)</f>
        <v>0</v>
      </c>
      <c r="S57" s="68">
        <f t="shared" si="4"/>
        <v>0</v>
      </c>
      <c r="T57" s="310">
        <f t="shared" si="5"/>
        <v>0</v>
      </c>
      <c r="V57" s="120">
        <f>'As-Filed Schedule 2L'!N57</f>
        <v>0</v>
      </c>
      <c r="W57" s="313">
        <f>SUMIFS(Adjustments!$G:$G,Adjustments!$H:$H,"2L",Adjustments!$I:$I,'Schedule 2L Adjustments'!$V$12,Adjustments!$J:$J,'Schedule 2L Adjustments'!$A57)</f>
        <v>0</v>
      </c>
      <c r="X57" s="309">
        <f t="shared" si="6"/>
        <v>0</v>
      </c>
      <c r="Y57" s="120">
        <f>'As-Filed Schedule 2L'!O57</f>
        <v>0</v>
      </c>
      <c r="Z57" s="313">
        <f>SUMIFS(Adjustments!$G:$G,Adjustments!$H:$H,"2L",Adjustments!$I:$I,'Schedule 2L Adjustments'!$Y$12,Adjustments!$J:$J,'Schedule 2L Adjustments'!$A57)</f>
        <v>0</v>
      </c>
      <c r="AA57" s="309">
        <f t="shared" si="7"/>
        <v>0</v>
      </c>
    </row>
    <row r="58" spans="1:27" x14ac:dyDescent="0.35">
      <c r="A58" s="24">
        <v>44</v>
      </c>
      <c r="B58" s="507" t="str">
        <f>IF('As-Filed Schedule 2L'!B58:D58=0,"",'As-Filed Schedule 2L'!B58:D58)</f>
        <v/>
      </c>
      <c r="C58" s="507"/>
      <c r="D58" s="507"/>
      <c r="F58" s="117">
        <f>'As-Filed Schedule 2L'!F58</f>
        <v>0</v>
      </c>
      <c r="G58" s="313">
        <f>SUMIFS(Adjustments!$G:$G,Adjustments!$H:$H,"2L",Adjustments!$I:$I,'Schedule 2L Adjustments'!$F$12,Adjustments!$J:$J,'Schedule 2L Adjustments'!$A58)</f>
        <v>0</v>
      </c>
      <c r="H58" s="309">
        <f t="shared" si="0"/>
        <v>0</v>
      </c>
      <c r="I58" s="68">
        <f>IFERROR(F58*'As-Filed Schedule 1'!$E$103,0)</f>
        <v>0</v>
      </c>
      <c r="J58" s="310">
        <f>IFERROR(H58*'Adjusted Schedule 1'!$E$104,0)</f>
        <v>0</v>
      </c>
      <c r="K58" s="68">
        <f t="shared" si="1"/>
        <v>0</v>
      </c>
      <c r="L58" s="310">
        <f t="shared" si="2"/>
        <v>0</v>
      </c>
      <c r="N58" s="117">
        <f>'As-Filed Schedule 2L'!J58</f>
        <v>0</v>
      </c>
      <c r="O58" s="313">
        <f>SUMIFS(Adjustments!$G:$G,Adjustments!$H:$H,"2L",Adjustments!$I:$I,'Schedule 2L Adjustments'!$N$12,Adjustments!$J:$J,'Schedule 2L Adjustments'!$A58)</f>
        <v>0</v>
      </c>
      <c r="P58" s="309">
        <f t="shared" si="3"/>
        <v>0</v>
      </c>
      <c r="Q58" s="68">
        <f>IFERROR(N58*'As-Filed Schedule 1'!$E$103,0)</f>
        <v>0</v>
      </c>
      <c r="R58" s="68">
        <f>IFERROR(P58*'Adjusted Schedule 1'!$E$104,0)</f>
        <v>0</v>
      </c>
      <c r="S58" s="68">
        <f t="shared" si="4"/>
        <v>0</v>
      </c>
      <c r="T58" s="310">
        <f t="shared" si="5"/>
        <v>0</v>
      </c>
      <c r="V58" s="120">
        <f>'As-Filed Schedule 2L'!N58</f>
        <v>0</v>
      </c>
      <c r="W58" s="313">
        <f>SUMIFS(Adjustments!$G:$G,Adjustments!$H:$H,"2L",Adjustments!$I:$I,'Schedule 2L Adjustments'!$V$12,Adjustments!$J:$J,'Schedule 2L Adjustments'!$A58)</f>
        <v>0</v>
      </c>
      <c r="X58" s="309">
        <f t="shared" si="6"/>
        <v>0</v>
      </c>
      <c r="Y58" s="120">
        <f>'As-Filed Schedule 2L'!O58</f>
        <v>0</v>
      </c>
      <c r="Z58" s="313">
        <f>SUMIFS(Adjustments!$G:$G,Adjustments!$H:$H,"2L",Adjustments!$I:$I,'Schedule 2L Adjustments'!$Y$12,Adjustments!$J:$J,'Schedule 2L Adjustments'!$A58)</f>
        <v>0</v>
      </c>
      <c r="AA58" s="309">
        <f t="shared" si="7"/>
        <v>0</v>
      </c>
    </row>
    <row r="59" spans="1:27" x14ac:dyDescent="0.35">
      <c r="A59" s="24">
        <v>45</v>
      </c>
      <c r="B59" s="507" t="str">
        <f>IF('As-Filed Schedule 2L'!B59:D59=0,"",'As-Filed Schedule 2L'!B59:D59)</f>
        <v/>
      </c>
      <c r="C59" s="507"/>
      <c r="D59" s="507"/>
      <c r="F59" s="117">
        <f>'As-Filed Schedule 2L'!F59</f>
        <v>0</v>
      </c>
      <c r="G59" s="313">
        <f>SUMIFS(Adjustments!$G:$G,Adjustments!$H:$H,"2L",Adjustments!$I:$I,'Schedule 2L Adjustments'!$F$12,Adjustments!$J:$J,'Schedule 2L Adjustments'!$A59)</f>
        <v>0</v>
      </c>
      <c r="H59" s="309">
        <f t="shared" si="0"/>
        <v>0</v>
      </c>
      <c r="I59" s="68">
        <f>IFERROR(F59*'As-Filed Schedule 1'!$E$103,0)</f>
        <v>0</v>
      </c>
      <c r="J59" s="310">
        <f>IFERROR(H59*'Adjusted Schedule 1'!$E$104,0)</f>
        <v>0</v>
      </c>
      <c r="K59" s="68">
        <f t="shared" si="1"/>
        <v>0</v>
      </c>
      <c r="L59" s="310">
        <f t="shared" si="2"/>
        <v>0</v>
      </c>
      <c r="N59" s="117">
        <f>'As-Filed Schedule 2L'!J59</f>
        <v>0</v>
      </c>
      <c r="O59" s="313">
        <f>SUMIFS(Adjustments!$G:$G,Adjustments!$H:$H,"2L",Adjustments!$I:$I,'Schedule 2L Adjustments'!$N$12,Adjustments!$J:$J,'Schedule 2L Adjustments'!$A59)</f>
        <v>0</v>
      </c>
      <c r="P59" s="309">
        <f t="shared" si="3"/>
        <v>0</v>
      </c>
      <c r="Q59" s="68">
        <f>IFERROR(N59*'As-Filed Schedule 1'!$E$103,0)</f>
        <v>0</v>
      </c>
      <c r="R59" s="68">
        <f>IFERROR(P59*'Adjusted Schedule 1'!$E$104,0)</f>
        <v>0</v>
      </c>
      <c r="S59" s="68">
        <f t="shared" si="4"/>
        <v>0</v>
      </c>
      <c r="T59" s="310">
        <f t="shared" si="5"/>
        <v>0</v>
      </c>
      <c r="V59" s="120">
        <f>'As-Filed Schedule 2L'!N59</f>
        <v>0</v>
      </c>
      <c r="W59" s="313">
        <f>SUMIFS(Adjustments!$G:$G,Adjustments!$H:$H,"2L",Adjustments!$I:$I,'Schedule 2L Adjustments'!$V$12,Adjustments!$J:$J,'Schedule 2L Adjustments'!$A59)</f>
        <v>0</v>
      </c>
      <c r="X59" s="309">
        <f t="shared" si="6"/>
        <v>0</v>
      </c>
      <c r="Y59" s="120">
        <f>'As-Filed Schedule 2L'!O59</f>
        <v>0</v>
      </c>
      <c r="Z59" s="313">
        <f>SUMIFS(Adjustments!$G:$G,Adjustments!$H:$H,"2L",Adjustments!$I:$I,'Schedule 2L Adjustments'!$Y$12,Adjustments!$J:$J,'Schedule 2L Adjustments'!$A59)</f>
        <v>0</v>
      </c>
      <c r="AA59" s="309">
        <f t="shared" si="7"/>
        <v>0</v>
      </c>
    </row>
    <row r="60" spans="1:27" x14ac:dyDescent="0.35">
      <c r="A60" s="24">
        <v>46</v>
      </c>
      <c r="B60" s="507" t="str">
        <f>IF('As-Filed Schedule 2L'!B60:D60=0,"",'As-Filed Schedule 2L'!B60:D60)</f>
        <v/>
      </c>
      <c r="C60" s="507"/>
      <c r="D60" s="507"/>
      <c r="F60" s="117">
        <f>'As-Filed Schedule 2L'!F60</f>
        <v>0</v>
      </c>
      <c r="G60" s="313">
        <f>SUMIFS(Adjustments!$G:$G,Adjustments!$H:$H,"2L",Adjustments!$I:$I,'Schedule 2L Adjustments'!$F$12,Adjustments!$J:$J,'Schedule 2L Adjustments'!$A60)</f>
        <v>0</v>
      </c>
      <c r="H60" s="309">
        <f t="shared" si="0"/>
        <v>0</v>
      </c>
      <c r="I60" s="68">
        <f>IFERROR(F60*'As-Filed Schedule 1'!$E$103,0)</f>
        <v>0</v>
      </c>
      <c r="J60" s="310">
        <f>IFERROR(H60*'Adjusted Schedule 1'!$E$104,0)</f>
        <v>0</v>
      </c>
      <c r="K60" s="68">
        <f t="shared" si="1"/>
        <v>0</v>
      </c>
      <c r="L60" s="310">
        <f t="shared" si="2"/>
        <v>0</v>
      </c>
      <c r="N60" s="117">
        <f>'As-Filed Schedule 2L'!J60</f>
        <v>0</v>
      </c>
      <c r="O60" s="313">
        <f>SUMIFS(Adjustments!$G:$G,Adjustments!$H:$H,"2L",Adjustments!$I:$I,'Schedule 2L Adjustments'!$N$12,Adjustments!$J:$J,'Schedule 2L Adjustments'!$A60)</f>
        <v>0</v>
      </c>
      <c r="P60" s="309">
        <f t="shared" si="3"/>
        <v>0</v>
      </c>
      <c r="Q60" s="68">
        <f>IFERROR(N60*'As-Filed Schedule 1'!$E$103,0)</f>
        <v>0</v>
      </c>
      <c r="R60" s="68">
        <f>IFERROR(P60*'Adjusted Schedule 1'!$E$104,0)</f>
        <v>0</v>
      </c>
      <c r="S60" s="68">
        <f t="shared" si="4"/>
        <v>0</v>
      </c>
      <c r="T60" s="310">
        <f t="shared" si="5"/>
        <v>0</v>
      </c>
      <c r="V60" s="120">
        <f>'As-Filed Schedule 2L'!N60</f>
        <v>0</v>
      </c>
      <c r="W60" s="313">
        <f>SUMIFS(Adjustments!$G:$G,Adjustments!$H:$H,"2L",Adjustments!$I:$I,'Schedule 2L Adjustments'!$V$12,Adjustments!$J:$J,'Schedule 2L Adjustments'!$A60)</f>
        <v>0</v>
      </c>
      <c r="X60" s="309">
        <f t="shared" si="6"/>
        <v>0</v>
      </c>
      <c r="Y60" s="120">
        <f>'As-Filed Schedule 2L'!O60</f>
        <v>0</v>
      </c>
      <c r="Z60" s="313">
        <f>SUMIFS(Adjustments!$G:$G,Adjustments!$H:$H,"2L",Adjustments!$I:$I,'Schedule 2L Adjustments'!$Y$12,Adjustments!$J:$J,'Schedule 2L Adjustments'!$A60)</f>
        <v>0</v>
      </c>
      <c r="AA60" s="309">
        <f t="shared" si="7"/>
        <v>0</v>
      </c>
    </row>
    <row r="61" spans="1:27" x14ac:dyDescent="0.35">
      <c r="A61" s="24">
        <v>47</v>
      </c>
      <c r="B61" s="507" t="str">
        <f>IF('As-Filed Schedule 2L'!B61:D61=0,"",'As-Filed Schedule 2L'!B61:D61)</f>
        <v/>
      </c>
      <c r="C61" s="507"/>
      <c r="D61" s="507"/>
      <c r="F61" s="117">
        <f>'As-Filed Schedule 2L'!F61</f>
        <v>0</v>
      </c>
      <c r="G61" s="313">
        <f>SUMIFS(Adjustments!$G:$G,Adjustments!$H:$H,"2L",Adjustments!$I:$I,'Schedule 2L Adjustments'!$F$12,Adjustments!$J:$J,'Schedule 2L Adjustments'!$A61)</f>
        <v>0</v>
      </c>
      <c r="H61" s="309">
        <f t="shared" si="0"/>
        <v>0</v>
      </c>
      <c r="I61" s="68">
        <f>IFERROR(F61*'As-Filed Schedule 1'!$E$103,0)</f>
        <v>0</v>
      </c>
      <c r="J61" s="310">
        <f>IFERROR(H61*'Adjusted Schedule 1'!$E$104,0)</f>
        <v>0</v>
      </c>
      <c r="K61" s="68">
        <f t="shared" si="1"/>
        <v>0</v>
      </c>
      <c r="L61" s="310">
        <f t="shared" si="2"/>
        <v>0</v>
      </c>
      <c r="N61" s="117">
        <f>'As-Filed Schedule 2L'!J61</f>
        <v>0</v>
      </c>
      <c r="O61" s="313">
        <f>SUMIFS(Adjustments!$G:$G,Adjustments!$H:$H,"2L",Adjustments!$I:$I,'Schedule 2L Adjustments'!$N$12,Adjustments!$J:$J,'Schedule 2L Adjustments'!$A61)</f>
        <v>0</v>
      </c>
      <c r="P61" s="309">
        <f t="shared" si="3"/>
        <v>0</v>
      </c>
      <c r="Q61" s="68">
        <f>IFERROR(N61*'As-Filed Schedule 1'!$E$103,0)</f>
        <v>0</v>
      </c>
      <c r="R61" s="68">
        <f>IFERROR(P61*'Adjusted Schedule 1'!$E$104,0)</f>
        <v>0</v>
      </c>
      <c r="S61" s="68">
        <f t="shared" si="4"/>
        <v>0</v>
      </c>
      <c r="T61" s="310">
        <f t="shared" si="5"/>
        <v>0</v>
      </c>
      <c r="V61" s="120">
        <f>'As-Filed Schedule 2L'!N61</f>
        <v>0</v>
      </c>
      <c r="W61" s="313">
        <f>SUMIFS(Adjustments!$G:$G,Adjustments!$H:$H,"2L",Adjustments!$I:$I,'Schedule 2L Adjustments'!$V$12,Adjustments!$J:$J,'Schedule 2L Adjustments'!$A61)</f>
        <v>0</v>
      </c>
      <c r="X61" s="309">
        <f t="shared" si="6"/>
        <v>0</v>
      </c>
      <c r="Y61" s="120">
        <f>'As-Filed Schedule 2L'!O61</f>
        <v>0</v>
      </c>
      <c r="Z61" s="313">
        <f>SUMIFS(Adjustments!$G:$G,Adjustments!$H:$H,"2L",Adjustments!$I:$I,'Schedule 2L Adjustments'!$Y$12,Adjustments!$J:$J,'Schedule 2L Adjustments'!$A61)</f>
        <v>0</v>
      </c>
      <c r="AA61" s="309">
        <f t="shared" si="7"/>
        <v>0</v>
      </c>
    </row>
    <row r="62" spans="1:27" x14ac:dyDescent="0.35">
      <c r="A62" s="24">
        <v>48</v>
      </c>
      <c r="B62" s="507" t="str">
        <f>IF('As-Filed Schedule 2L'!B62:D62=0,"",'As-Filed Schedule 2L'!B62:D62)</f>
        <v/>
      </c>
      <c r="C62" s="507"/>
      <c r="D62" s="507"/>
      <c r="F62" s="117">
        <f>'As-Filed Schedule 2L'!F62</f>
        <v>0</v>
      </c>
      <c r="G62" s="313">
        <f>SUMIFS(Adjustments!$G:$G,Adjustments!$H:$H,"2L",Adjustments!$I:$I,'Schedule 2L Adjustments'!$F$12,Adjustments!$J:$J,'Schedule 2L Adjustments'!$A62)</f>
        <v>0</v>
      </c>
      <c r="H62" s="309">
        <f t="shared" si="0"/>
        <v>0</v>
      </c>
      <c r="I62" s="68">
        <f>IFERROR(F62*'As-Filed Schedule 1'!$E$103,0)</f>
        <v>0</v>
      </c>
      <c r="J62" s="310">
        <f>IFERROR(H62*'Adjusted Schedule 1'!$E$104,0)</f>
        <v>0</v>
      </c>
      <c r="K62" s="68">
        <f t="shared" si="1"/>
        <v>0</v>
      </c>
      <c r="L62" s="310">
        <f t="shared" si="2"/>
        <v>0</v>
      </c>
      <c r="N62" s="117">
        <f>'As-Filed Schedule 2L'!J62</f>
        <v>0</v>
      </c>
      <c r="O62" s="313">
        <f>SUMIFS(Adjustments!$G:$G,Adjustments!$H:$H,"2L",Adjustments!$I:$I,'Schedule 2L Adjustments'!$N$12,Adjustments!$J:$J,'Schedule 2L Adjustments'!$A62)</f>
        <v>0</v>
      </c>
      <c r="P62" s="309">
        <f t="shared" si="3"/>
        <v>0</v>
      </c>
      <c r="Q62" s="68">
        <f>IFERROR(N62*'As-Filed Schedule 1'!$E$103,0)</f>
        <v>0</v>
      </c>
      <c r="R62" s="68">
        <f>IFERROR(P62*'Adjusted Schedule 1'!$E$104,0)</f>
        <v>0</v>
      </c>
      <c r="S62" s="68">
        <f t="shared" si="4"/>
        <v>0</v>
      </c>
      <c r="T62" s="310">
        <f t="shared" si="5"/>
        <v>0</v>
      </c>
      <c r="V62" s="120">
        <f>'As-Filed Schedule 2L'!N62</f>
        <v>0</v>
      </c>
      <c r="W62" s="313">
        <f>SUMIFS(Adjustments!$G:$G,Adjustments!$H:$H,"2L",Adjustments!$I:$I,'Schedule 2L Adjustments'!$V$12,Adjustments!$J:$J,'Schedule 2L Adjustments'!$A62)</f>
        <v>0</v>
      </c>
      <c r="X62" s="309">
        <f t="shared" si="6"/>
        <v>0</v>
      </c>
      <c r="Y62" s="120">
        <f>'As-Filed Schedule 2L'!O62</f>
        <v>0</v>
      </c>
      <c r="Z62" s="313">
        <f>SUMIFS(Adjustments!$G:$G,Adjustments!$H:$H,"2L",Adjustments!$I:$I,'Schedule 2L Adjustments'!$Y$12,Adjustments!$J:$J,'Schedule 2L Adjustments'!$A62)</f>
        <v>0</v>
      </c>
      <c r="AA62" s="309">
        <f t="shared" si="7"/>
        <v>0</v>
      </c>
    </row>
    <row r="63" spans="1:27" x14ac:dyDescent="0.35">
      <c r="A63" s="24">
        <v>49</v>
      </c>
      <c r="B63" s="507" t="str">
        <f>IF('As-Filed Schedule 2L'!B63:D63=0,"",'As-Filed Schedule 2L'!B63:D63)</f>
        <v/>
      </c>
      <c r="C63" s="507"/>
      <c r="D63" s="507"/>
      <c r="F63" s="117">
        <f>'As-Filed Schedule 2L'!F63</f>
        <v>0</v>
      </c>
      <c r="G63" s="313">
        <f>SUMIFS(Adjustments!$G:$G,Adjustments!$H:$H,"2L",Adjustments!$I:$I,'Schedule 2L Adjustments'!$F$12,Adjustments!$J:$J,'Schedule 2L Adjustments'!$A63)</f>
        <v>0</v>
      </c>
      <c r="H63" s="309">
        <f t="shared" si="0"/>
        <v>0</v>
      </c>
      <c r="I63" s="68">
        <f>IFERROR(F63*'As-Filed Schedule 1'!$E$103,0)</f>
        <v>0</v>
      </c>
      <c r="J63" s="310">
        <f>IFERROR(H63*'Adjusted Schedule 1'!$E$104,0)</f>
        <v>0</v>
      </c>
      <c r="K63" s="68">
        <f t="shared" si="1"/>
        <v>0</v>
      </c>
      <c r="L63" s="310">
        <f t="shared" si="2"/>
        <v>0</v>
      </c>
      <c r="N63" s="117">
        <f>'As-Filed Schedule 2L'!J63</f>
        <v>0</v>
      </c>
      <c r="O63" s="313">
        <f>SUMIFS(Adjustments!$G:$G,Adjustments!$H:$H,"2L",Adjustments!$I:$I,'Schedule 2L Adjustments'!$N$12,Adjustments!$J:$J,'Schedule 2L Adjustments'!$A63)</f>
        <v>0</v>
      </c>
      <c r="P63" s="309">
        <f t="shared" si="3"/>
        <v>0</v>
      </c>
      <c r="Q63" s="68">
        <f>IFERROR(N63*'As-Filed Schedule 1'!$E$103,0)</f>
        <v>0</v>
      </c>
      <c r="R63" s="68">
        <f>IFERROR(P63*'Adjusted Schedule 1'!$E$104,0)</f>
        <v>0</v>
      </c>
      <c r="S63" s="68">
        <f t="shared" si="4"/>
        <v>0</v>
      </c>
      <c r="T63" s="310">
        <f t="shared" si="5"/>
        <v>0</v>
      </c>
      <c r="V63" s="120">
        <f>'As-Filed Schedule 2L'!N63</f>
        <v>0</v>
      </c>
      <c r="W63" s="313">
        <f>SUMIFS(Adjustments!$G:$G,Adjustments!$H:$H,"2L",Adjustments!$I:$I,'Schedule 2L Adjustments'!$V$12,Adjustments!$J:$J,'Schedule 2L Adjustments'!$A63)</f>
        <v>0</v>
      </c>
      <c r="X63" s="309">
        <f t="shared" si="6"/>
        <v>0</v>
      </c>
      <c r="Y63" s="120">
        <f>'As-Filed Schedule 2L'!O63</f>
        <v>0</v>
      </c>
      <c r="Z63" s="313">
        <f>SUMIFS(Adjustments!$G:$G,Adjustments!$H:$H,"2L",Adjustments!$I:$I,'Schedule 2L Adjustments'!$Y$12,Adjustments!$J:$J,'Schedule 2L Adjustments'!$A63)</f>
        <v>0</v>
      </c>
      <c r="AA63" s="309">
        <f t="shared" si="7"/>
        <v>0</v>
      </c>
    </row>
    <row r="64" spans="1:27" x14ac:dyDescent="0.35">
      <c r="A64" s="24">
        <v>50</v>
      </c>
      <c r="B64" s="507" t="str">
        <f>IF('As-Filed Schedule 2L'!B64:D64=0,"",'As-Filed Schedule 2L'!B64:D64)</f>
        <v/>
      </c>
      <c r="C64" s="507"/>
      <c r="D64" s="507"/>
      <c r="F64" s="117">
        <f>'As-Filed Schedule 2L'!F64</f>
        <v>0</v>
      </c>
      <c r="G64" s="313">
        <f>SUMIFS(Adjustments!$G:$G,Adjustments!$H:$H,"2L",Adjustments!$I:$I,'Schedule 2L Adjustments'!$F$12,Adjustments!$J:$J,'Schedule 2L Adjustments'!$A64)</f>
        <v>0</v>
      </c>
      <c r="H64" s="309">
        <f t="shared" si="0"/>
        <v>0</v>
      </c>
      <c r="I64" s="68">
        <f>IFERROR(F64*'As-Filed Schedule 1'!$E$103,0)</f>
        <v>0</v>
      </c>
      <c r="J64" s="310">
        <f>IFERROR(H64*'Adjusted Schedule 1'!$E$104,0)</f>
        <v>0</v>
      </c>
      <c r="K64" s="68">
        <f t="shared" si="1"/>
        <v>0</v>
      </c>
      <c r="L64" s="310">
        <f t="shared" si="2"/>
        <v>0</v>
      </c>
      <c r="N64" s="117">
        <f>'As-Filed Schedule 2L'!J64</f>
        <v>0</v>
      </c>
      <c r="O64" s="313">
        <f>SUMIFS(Adjustments!$G:$G,Adjustments!$H:$H,"2L",Adjustments!$I:$I,'Schedule 2L Adjustments'!$N$12,Adjustments!$J:$J,'Schedule 2L Adjustments'!$A64)</f>
        <v>0</v>
      </c>
      <c r="P64" s="309">
        <f t="shared" si="3"/>
        <v>0</v>
      </c>
      <c r="Q64" s="68">
        <f>IFERROR(N64*'As-Filed Schedule 1'!$E$103,0)</f>
        <v>0</v>
      </c>
      <c r="R64" s="68">
        <f>IFERROR(P64*'Adjusted Schedule 1'!$E$104,0)</f>
        <v>0</v>
      </c>
      <c r="S64" s="68">
        <f t="shared" si="4"/>
        <v>0</v>
      </c>
      <c r="T64" s="310">
        <f t="shared" si="5"/>
        <v>0</v>
      </c>
      <c r="V64" s="120">
        <f>'As-Filed Schedule 2L'!N64</f>
        <v>0</v>
      </c>
      <c r="W64" s="313">
        <f>SUMIFS(Adjustments!$G:$G,Adjustments!$H:$H,"2L",Adjustments!$I:$I,'Schedule 2L Adjustments'!$V$12,Adjustments!$J:$J,'Schedule 2L Adjustments'!$A64)</f>
        <v>0</v>
      </c>
      <c r="X64" s="309">
        <f t="shared" si="6"/>
        <v>0</v>
      </c>
      <c r="Y64" s="120">
        <f>'As-Filed Schedule 2L'!O64</f>
        <v>0</v>
      </c>
      <c r="Z64" s="313">
        <f>SUMIFS(Adjustments!$G:$G,Adjustments!$H:$H,"2L",Adjustments!$I:$I,'Schedule 2L Adjustments'!$Y$12,Adjustments!$J:$J,'Schedule 2L Adjustments'!$A64)</f>
        <v>0</v>
      </c>
      <c r="AA64" s="309">
        <f t="shared" si="7"/>
        <v>0</v>
      </c>
    </row>
    <row r="65" spans="1:27" x14ac:dyDescent="0.35">
      <c r="A65" s="24">
        <v>51</v>
      </c>
      <c r="B65" s="507" t="str">
        <f>IF('As-Filed Schedule 2L'!B65:D65=0,"",'As-Filed Schedule 2L'!B65:D65)</f>
        <v/>
      </c>
      <c r="C65" s="507"/>
      <c r="D65" s="507"/>
      <c r="F65" s="117">
        <f>'As-Filed Schedule 2L'!F65</f>
        <v>0</v>
      </c>
      <c r="G65" s="313">
        <f>SUMIFS(Adjustments!$G:$G,Adjustments!$H:$H,"2L",Adjustments!$I:$I,'Schedule 2L Adjustments'!$F$12,Adjustments!$J:$J,'Schedule 2L Adjustments'!$A65)</f>
        <v>0</v>
      </c>
      <c r="H65" s="309">
        <f t="shared" si="0"/>
        <v>0</v>
      </c>
      <c r="I65" s="68">
        <f>IFERROR(F65*'As-Filed Schedule 1'!$E$103,0)</f>
        <v>0</v>
      </c>
      <c r="J65" s="310">
        <f>IFERROR(H65*'Adjusted Schedule 1'!$E$104,0)</f>
        <v>0</v>
      </c>
      <c r="K65" s="68">
        <f t="shared" si="1"/>
        <v>0</v>
      </c>
      <c r="L65" s="310">
        <f t="shared" si="2"/>
        <v>0</v>
      </c>
      <c r="N65" s="117">
        <f>'As-Filed Schedule 2L'!J65</f>
        <v>0</v>
      </c>
      <c r="O65" s="313">
        <f>SUMIFS(Adjustments!$G:$G,Adjustments!$H:$H,"2L",Adjustments!$I:$I,'Schedule 2L Adjustments'!$N$12,Adjustments!$J:$J,'Schedule 2L Adjustments'!$A65)</f>
        <v>0</v>
      </c>
      <c r="P65" s="309">
        <f t="shared" si="3"/>
        <v>0</v>
      </c>
      <c r="Q65" s="68">
        <f>IFERROR(N65*'As-Filed Schedule 1'!$E$103,0)</f>
        <v>0</v>
      </c>
      <c r="R65" s="68">
        <f>IFERROR(P65*'Adjusted Schedule 1'!$E$104,0)</f>
        <v>0</v>
      </c>
      <c r="S65" s="68">
        <f t="shared" si="4"/>
        <v>0</v>
      </c>
      <c r="T65" s="310">
        <f t="shared" si="5"/>
        <v>0</v>
      </c>
      <c r="V65" s="120">
        <f>'As-Filed Schedule 2L'!N65</f>
        <v>0</v>
      </c>
      <c r="W65" s="313">
        <f>SUMIFS(Adjustments!$G:$G,Adjustments!$H:$H,"2L",Adjustments!$I:$I,'Schedule 2L Adjustments'!$V$12,Adjustments!$J:$J,'Schedule 2L Adjustments'!$A65)</f>
        <v>0</v>
      </c>
      <c r="X65" s="309">
        <f t="shared" si="6"/>
        <v>0</v>
      </c>
      <c r="Y65" s="120">
        <f>'As-Filed Schedule 2L'!O65</f>
        <v>0</v>
      </c>
      <c r="Z65" s="313">
        <f>SUMIFS(Adjustments!$G:$G,Adjustments!$H:$H,"2L",Adjustments!$I:$I,'Schedule 2L Adjustments'!$Y$12,Adjustments!$J:$J,'Schedule 2L Adjustments'!$A65)</f>
        <v>0</v>
      </c>
      <c r="AA65" s="309">
        <f t="shared" si="7"/>
        <v>0</v>
      </c>
    </row>
    <row r="66" spans="1:27" x14ac:dyDescent="0.35">
      <c r="A66" s="24">
        <v>52</v>
      </c>
      <c r="B66" s="507" t="str">
        <f>IF('As-Filed Schedule 2L'!B66:D66=0,"",'As-Filed Schedule 2L'!B66:D66)</f>
        <v/>
      </c>
      <c r="C66" s="507"/>
      <c r="D66" s="507"/>
      <c r="F66" s="117">
        <f>'As-Filed Schedule 2L'!F66</f>
        <v>0</v>
      </c>
      <c r="G66" s="313">
        <f>SUMIFS(Adjustments!$G:$G,Adjustments!$H:$H,"2L",Adjustments!$I:$I,'Schedule 2L Adjustments'!$F$12,Adjustments!$J:$J,'Schedule 2L Adjustments'!$A66)</f>
        <v>0</v>
      </c>
      <c r="H66" s="309">
        <f t="shared" si="0"/>
        <v>0</v>
      </c>
      <c r="I66" s="68">
        <f>IFERROR(F66*'As-Filed Schedule 1'!$E$103,0)</f>
        <v>0</v>
      </c>
      <c r="J66" s="310">
        <f>IFERROR(H66*'Adjusted Schedule 1'!$E$104,0)</f>
        <v>0</v>
      </c>
      <c r="K66" s="68">
        <f t="shared" si="1"/>
        <v>0</v>
      </c>
      <c r="L66" s="310">
        <f t="shared" si="2"/>
        <v>0</v>
      </c>
      <c r="N66" s="117">
        <f>'As-Filed Schedule 2L'!J66</f>
        <v>0</v>
      </c>
      <c r="O66" s="313">
        <f>SUMIFS(Adjustments!$G:$G,Adjustments!$H:$H,"2L",Adjustments!$I:$I,'Schedule 2L Adjustments'!$N$12,Adjustments!$J:$J,'Schedule 2L Adjustments'!$A66)</f>
        <v>0</v>
      </c>
      <c r="P66" s="309">
        <f t="shared" si="3"/>
        <v>0</v>
      </c>
      <c r="Q66" s="68">
        <f>IFERROR(N66*'As-Filed Schedule 1'!$E$103,0)</f>
        <v>0</v>
      </c>
      <c r="R66" s="68">
        <f>IFERROR(P66*'Adjusted Schedule 1'!$E$104,0)</f>
        <v>0</v>
      </c>
      <c r="S66" s="68">
        <f t="shared" si="4"/>
        <v>0</v>
      </c>
      <c r="T66" s="310">
        <f t="shared" si="5"/>
        <v>0</v>
      </c>
      <c r="V66" s="120">
        <f>'As-Filed Schedule 2L'!N66</f>
        <v>0</v>
      </c>
      <c r="W66" s="313">
        <f>SUMIFS(Adjustments!$G:$G,Adjustments!$H:$H,"2L",Adjustments!$I:$I,'Schedule 2L Adjustments'!$V$12,Adjustments!$J:$J,'Schedule 2L Adjustments'!$A66)</f>
        <v>0</v>
      </c>
      <c r="X66" s="309">
        <f t="shared" si="6"/>
        <v>0</v>
      </c>
      <c r="Y66" s="120">
        <f>'As-Filed Schedule 2L'!O66</f>
        <v>0</v>
      </c>
      <c r="Z66" s="313">
        <f>SUMIFS(Adjustments!$G:$G,Adjustments!$H:$H,"2L",Adjustments!$I:$I,'Schedule 2L Adjustments'!$Y$12,Adjustments!$J:$J,'Schedule 2L Adjustments'!$A66)</f>
        <v>0</v>
      </c>
      <c r="AA66" s="309">
        <f t="shared" si="7"/>
        <v>0</v>
      </c>
    </row>
    <row r="67" spans="1:27" x14ac:dyDescent="0.35">
      <c r="A67" s="24">
        <v>53</v>
      </c>
      <c r="B67" s="507" t="str">
        <f>IF('As-Filed Schedule 2L'!B67:D67=0,"",'As-Filed Schedule 2L'!B67:D67)</f>
        <v/>
      </c>
      <c r="C67" s="507"/>
      <c r="D67" s="507"/>
      <c r="F67" s="117">
        <f>'As-Filed Schedule 2L'!F67</f>
        <v>0</v>
      </c>
      <c r="G67" s="313">
        <f>SUMIFS(Adjustments!$G:$G,Adjustments!$H:$H,"2L",Adjustments!$I:$I,'Schedule 2L Adjustments'!$F$12,Adjustments!$J:$J,'Schedule 2L Adjustments'!$A67)</f>
        <v>0</v>
      </c>
      <c r="H67" s="309">
        <f t="shared" si="0"/>
        <v>0</v>
      </c>
      <c r="I67" s="68">
        <f>IFERROR(F67*'As-Filed Schedule 1'!$E$103,0)</f>
        <v>0</v>
      </c>
      <c r="J67" s="310">
        <f>IFERROR(H67*'Adjusted Schedule 1'!$E$104,0)</f>
        <v>0</v>
      </c>
      <c r="K67" s="68">
        <f t="shared" si="1"/>
        <v>0</v>
      </c>
      <c r="L67" s="310">
        <f t="shared" si="2"/>
        <v>0</v>
      </c>
      <c r="N67" s="117">
        <f>'As-Filed Schedule 2L'!J67</f>
        <v>0</v>
      </c>
      <c r="O67" s="313">
        <f>SUMIFS(Adjustments!$G:$G,Adjustments!$H:$H,"2L",Adjustments!$I:$I,'Schedule 2L Adjustments'!$N$12,Adjustments!$J:$J,'Schedule 2L Adjustments'!$A67)</f>
        <v>0</v>
      </c>
      <c r="P67" s="309">
        <f t="shared" si="3"/>
        <v>0</v>
      </c>
      <c r="Q67" s="68">
        <f>IFERROR(N67*'As-Filed Schedule 1'!$E$103,0)</f>
        <v>0</v>
      </c>
      <c r="R67" s="68">
        <f>IFERROR(P67*'Adjusted Schedule 1'!$E$104,0)</f>
        <v>0</v>
      </c>
      <c r="S67" s="68">
        <f t="shared" si="4"/>
        <v>0</v>
      </c>
      <c r="T67" s="310">
        <f t="shared" si="5"/>
        <v>0</v>
      </c>
      <c r="V67" s="120">
        <f>'As-Filed Schedule 2L'!N67</f>
        <v>0</v>
      </c>
      <c r="W67" s="313">
        <f>SUMIFS(Adjustments!$G:$G,Adjustments!$H:$H,"2L",Adjustments!$I:$I,'Schedule 2L Adjustments'!$V$12,Adjustments!$J:$J,'Schedule 2L Adjustments'!$A67)</f>
        <v>0</v>
      </c>
      <c r="X67" s="309">
        <f t="shared" si="6"/>
        <v>0</v>
      </c>
      <c r="Y67" s="120">
        <f>'As-Filed Schedule 2L'!O67</f>
        <v>0</v>
      </c>
      <c r="Z67" s="313">
        <f>SUMIFS(Adjustments!$G:$G,Adjustments!$H:$H,"2L",Adjustments!$I:$I,'Schedule 2L Adjustments'!$Y$12,Adjustments!$J:$J,'Schedule 2L Adjustments'!$A67)</f>
        <v>0</v>
      </c>
      <c r="AA67" s="309">
        <f t="shared" si="7"/>
        <v>0</v>
      </c>
    </row>
    <row r="68" spans="1:27" x14ac:dyDescent="0.35">
      <c r="A68" s="24">
        <v>54</v>
      </c>
      <c r="B68" s="507" t="str">
        <f>IF('As-Filed Schedule 2L'!B68:D68=0,"",'As-Filed Schedule 2L'!B68:D68)</f>
        <v/>
      </c>
      <c r="C68" s="507"/>
      <c r="D68" s="507"/>
      <c r="F68" s="117">
        <f>'As-Filed Schedule 2L'!F68</f>
        <v>0</v>
      </c>
      <c r="G68" s="313">
        <f>SUMIFS(Adjustments!$G:$G,Adjustments!$H:$H,"2L",Adjustments!$I:$I,'Schedule 2L Adjustments'!$F$12,Adjustments!$J:$J,'Schedule 2L Adjustments'!$A68)</f>
        <v>0</v>
      </c>
      <c r="H68" s="309">
        <f t="shared" si="0"/>
        <v>0</v>
      </c>
      <c r="I68" s="68">
        <f>IFERROR(F68*'As-Filed Schedule 1'!$E$103,0)</f>
        <v>0</v>
      </c>
      <c r="J68" s="310">
        <f>IFERROR(H68*'Adjusted Schedule 1'!$E$104,0)</f>
        <v>0</v>
      </c>
      <c r="K68" s="68">
        <f t="shared" si="1"/>
        <v>0</v>
      </c>
      <c r="L68" s="310">
        <f t="shared" si="2"/>
        <v>0</v>
      </c>
      <c r="N68" s="117">
        <f>'As-Filed Schedule 2L'!J68</f>
        <v>0</v>
      </c>
      <c r="O68" s="313">
        <f>SUMIFS(Adjustments!$G:$G,Adjustments!$H:$H,"2L",Adjustments!$I:$I,'Schedule 2L Adjustments'!$N$12,Adjustments!$J:$J,'Schedule 2L Adjustments'!$A68)</f>
        <v>0</v>
      </c>
      <c r="P68" s="309">
        <f t="shared" si="3"/>
        <v>0</v>
      </c>
      <c r="Q68" s="68">
        <f>IFERROR(N68*'As-Filed Schedule 1'!$E$103,0)</f>
        <v>0</v>
      </c>
      <c r="R68" s="68">
        <f>IFERROR(P68*'Adjusted Schedule 1'!$E$104,0)</f>
        <v>0</v>
      </c>
      <c r="S68" s="68">
        <f t="shared" si="4"/>
        <v>0</v>
      </c>
      <c r="T68" s="310">
        <f t="shared" si="5"/>
        <v>0</v>
      </c>
      <c r="V68" s="120">
        <f>'As-Filed Schedule 2L'!N68</f>
        <v>0</v>
      </c>
      <c r="W68" s="313">
        <f>SUMIFS(Adjustments!$G:$G,Adjustments!$H:$H,"2L",Adjustments!$I:$I,'Schedule 2L Adjustments'!$V$12,Adjustments!$J:$J,'Schedule 2L Adjustments'!$A68)</f>
        <v>0</v>
      </c>
      <c r="X68" s="309">
        <f t="shared" si="6"/>
        <v>0</v>
      </c>
      <c r="Y68" s="120">
        <f>'As-Filed Schedule 2L'!O68</f>
        <v>0</v>
      </c>
      <c r="Z68" s="313">
        <f>SUMIFS(Adjustments!$G:$G,Adjustments!$H:$H,"2L",Adjustments!$I:$I,'Schedule 2L Adjustments'!$Y$12,Adjustments!$J:$J,'Schedule 2L Adjustments'!$A68)</f>
        <v>0</v>
      </c>
      <c r="AA68" s="309">
        <f t="shared" si="7"/>
        <v>0</v>
      </c>
    </row>
    <row r="69" spans="1:27" x14ac:dyDescent="0.35">
      <c r="A69" s="24">
        <v>55</v>
      </c>
      <c r="B69" s="507" t="str">
        <f>IF('As-Filed Schedule 2L'!B69:D69=0,"",'As-Filed Schedule 2L'!B69:D69)</f>
        <v/>
      </c>
      <c r="C69" s="507"/>
      <c r="D69" s="507"/>
      <c r="F69" s="117">
        <f>'As-Filed Schedule 2L'!F69</f>
        <v>0</v>
      </c>
      <c r="G69" s="313">
        <f>SUMIFS(Adjustments!$G:$G,Adjustments!$H:$H,"2L",Adjustments!$I:$I,'Schedule 2L Adjustments'!$F$12,Adjustments!$J:$J,'Schedule 2L Adjustments'!$A69)</f>
        <v>0</v>
      </c>
      <c r="H69" s="309">
        <f t="shared" si="0"/>
        <v>0</v>
      </c>
      <c r="I69" s="68">
        <f>IFERROR(F69*'As-Filed Schedule 1'!$E$103,0)</f>
        <v>0</v>
      </c>
      <c r="J69" s="310">
        <f>IFERROR(H69*'Adjusted Schedule 1'!$E$104,0)</f>
        <v>0</v>
      </c>
      <c r="K69" s="68">
        <f t="shared" si="1"/>
        <v>0</v>
      </c>
      <c r="L69" s="310">
        <f t="shared" si="2"/>
        <v>0</v>
      </c>
      <c r="N69" s="117">
        <f>'As-Filed Schedule 2L'!J69</f>
        <v>0</v>
      </c>
      <c r="O69" s="313">
        <f>SUMIFS(Adjustments!$G:$G,Adjustments!$H:$H,"2L",Adjustments!$I:$I,'Schedule 2L Adjustments'!$N$12,Adjustments!$J:$J,'Schedule 2L Adjustments'!$A69)</f>
        <v>0</v>
      </c>
      <c r="P69" s="309">
        <f t="shared" si="3"/>
        <v>0</v>
      </c>
      <c r="Q69" s="68">
        <f>IFERROR(N69*'As-Filed Schedule 1'!$E$103,0)</f>
        <v>0</v>
      </c>
      <c r="R69" s="68">
        <f>IFERROR(P69*'Adjusted Schedule 1'!$E$104,0)</f>
        <v>0</v>
      </c>
      <c r="S69" s="68">
        <f t="shared" si="4"/>
        <v>0</v>
      </c>
      <c r="T69" s="310">
        <f t="shared" si="5"/>
        <v>0</v>
      </c>
      <c r="V69" s="120">
        <f>'As-Filed Schedule 2L'!N69</f>
        <v>0</v>
      </c>
      <c r="W69" s="313">
        <f>SUMIFS(Adjustments!$G:$G,Adjustments!$H:$H,"2L",Adjustments!$I:$I,'Schedule 2L Adjustments'!$V$12,Adjustments!$J:$J,'Schedule 2L Adjustments'!$A69)</f>
        <v>0</v>
      </c>
      <c r="X69" s="309">
        <f t="shared" si="6"/>
        <v>0</v>
      </c>
      <c r="Y69" s="120">
        <f>'As-Filed Schedule 2L'!O69</f>
        <v>0</v>
      </c>
      <c r="Z69" s="313">
        <f>SUMIFS(Adjustments!$G:$G,Adjustments!$H:$H,"2L",Adjustments!$I:$I,'Schedule 2L Adjustments'!$Y$12,Adjustments!$J:$J,'Schedule 2L Adjustments'!$A69)</f>
        <v>0</v>
      </c>
      <c r="AA69" s="309">
        <f t="shared" si="7"/>
        <v>0</v>
      </c>
    </row>
    <row r="70" spans="1:27" x14ac:dyDescent="0.35">
      <c r="A70" s="24">
        <v>56</v>
      </c>
      <c r="B70" s="507" t="str">
        <f>IF('As-Filed Schedule 2L'!B70:D70=0,"",'As-Filed Schedule 2L'!B70:D70)</f>
        <v/>
      </c>
      <c r="C70" s="507"/>
      <c r="D70" s="507"/>
      <c r="F70" s="117">
        <f>'As-Filed Schedule 2L'!F70</f>
        <v>0</v>
      </c>
      <c r="G70" s="313">
        <f>SUMIFS(Adjustments!$G:$G,Adjustments!$H:$H,"2L",Adjustments!$I:$I,'Schedule 2L Adjustments'!$F$12,Adjustments!$J:$J,'Schedule 2L Adjustments'!$A70)</f>
        <v>0</v>
      </c>
      <c r="H70" s="309">
        <f t="shared" si="0"/>
        <v>0</v>
      </c>
      <c r="I70" s="68">
        <f>IFERROR(F70*'As-Filed Schedule 1'!$E$103,0)</f>
        <v>0</v>
      </c>
      <c r="J70" s="310">
        <f>IFERROR(H70*'Adjusted Schedule 1'!$E$104,0)</f>
        <v>0</v>
      </c>
      <c r="K70" s="68">
        <f t="shared" si="1"/>
        <v>0</v>
      </c>
      <c r="L70" s="310">
        <f t="shared" si="2"/>
        <v>0</v>
      </c>
      <c r="N70" s="117">
        <f>'As-Filed Schedule 2L'!J70</f>
        <v>0</v>
      </c>
      <c r="O70" s="313">
        <f>SUMIFS(Adjustments!$G:$G,Adjustments!$H:$H,"2L",Adjustments!$I:$I,'Schedule 2L Adjustments'!$N$12,Adjustments!$J:$J,'Schedule 2L Adjustments'!$A70)</f>
        <v>0</v>
      </c>
      <c r="P70" s="309">
        <f t="shared" si="3"/>
        <v>0</v>
      </c>
      <c r="Q70" s="68">
        <f>IFERROR(N70*'As-Filed Schedule 1'!$E$103,0)</f>
        <v>0</v>
      </c>
      <c r="R70" s="68">
        <f>IFERROR(P70*'Adjusted Schedule 1'!$E$104,0)</f>
        <v>0</v>
      </c>
      <c r="S70" s="68">
        <f t="shared" si="4"/>
        <v>0</v>
      </c>
      <c r="T70" s="310">
        <f t="shared" si="5"/>
        <v>0</v>
      </c>
      <c r="V70" s="120">
        <f>'As-Filed Schedule 2L'!N70</f>
        <v>0</v>
      </c>
      <c r="W70" s="313">
        <f>SUMIFS(Adjustments!$G:$G,Adjustments!$H:$H,"2L",Adjustments!$I:$I,'Schedule 2L Adjustments'!$V$12,Adjustments!$J:$J,'Schedule 2L Adjustments'!$A70)</f>
        <v>0</v>
      </c>
      <c r="X70" s="309">
        <f t="shared" si="6"/>
        <v>0</v>
      </c>
      <c r="Y70" s="120">
        <f>'As-Filed Schedule 2L'!O70</f>
        <v>0</v>
      </c>
      <c r="Z70" s="313">
        <f>SUMIFS(Adjustments!$G:$G,Adjustments!$H:$H,"2L",Adjustments!$I:$I,'Schedule 2L Adjustments'!$Y$12,Adjustments!$J:$J,'Schedule 2L Adjustments'!$A70)</f>
        <v>0</v>
      </c>
      <c r="AA70" s="309">
        <f t="shared" si="7"/>
        <v>0</v>
      </c>
    </row>
    <row r="71" spans="1:27" x14ac:dyDescent="0.35">
      <c r="A71" s="24">
        <v>57</v>
      </c>
      <c r="B71" s="507" t="str">
        <f>IF('As-Filed Schedule 2L'!B71:D71=0,"",'As-Filed Schedule 2L'!B71:D71)</f>
        <v/>
      </c>
      <c r="C71" s="507"/>
      <c r="D71" s="507"/>
      <c r="F71" s="117">
        <f>'As-Filed Schedule 2L'!F71</f>
        <v>0</v>
      </c>
      <c r="G71" s="313">
        <f>SUMIFS(Adjustments!$G:$G,Adjustments!$H:$H,"2L",Adjustments!$I:$I,'Schedule 2L Adjustments'!$F$12,Adjustments!$J:$J,'Schedule 2L Adjustments'!$A71)</f>
        <v>0</v>
      </c>
      <c r="H71" s="309">
        <f t="shared" si="0"/>
        <v>0</v>
      </c>
      <c r="I71" s="68">
        <f>IFERROR(F71*'As-Filed Schedule 1'!$E$103,0)</f>
        <v>0</v>
      </c>
      <c r="J71" s="310">
        <f>IFERROR(H71*'Adjusted Schedule 1'!$E$104,0)</f>
        <v>0</v>
      </c>
      <c r="K71" s="68">
        <f t="shared" si="1"/>
        <v>0</v>
      </c>
      <c r="L71" s="310">
        <f t="shared" si="2"/>
        <v>0</v>
      </c>
      <c r="N71" s="117">
        <f>'As-Filed Schedule 2L'!J71</f>
        <v>0</v>
      </c>
      <c r="O71" s="313">
        <f>SUMIFS(Adjustments!$G:$G,Adjustments!$H:$H,"2L",Adjustments!$I:$I,'Schedule 2L Adjustments'!$N$12,Adjustments!$J:$J,'Schedule 2L Adjustments'!$A71)</f>
        <v>0</v>
      </c>
      <c r="P71" s="309">
        <f t="shared" si="3"/>
        <v>0</v>
      </c>
      <c r="Q71" s="68">
        <f>IFERROR(N71*'As-Filed Schedule 1'!$E$103,0)</f>
        <v>0</v>
      </c>
      <c r="R71" s="68">
        <f>IFERROR(P71*'Adjusted Schedule 1'!$E$104,0)</f>
        <v>0</v>
      </c>
      <c r="S71" s="68">
        <f t="shared" si="4"/>
        <v>0</v>
      </c>
      <c r="T71" s="310">
        <f t="shared" si="5"/>
        <v>0</v>
      </c>
      <c r="V71" s="120">
        <f>'As-Filed Schedule 2L'!N71</f>
        <v>0</v>
      </c>
      <c r="W71" s="313">
        <f>SUMIFS(Adjustments!$G:$G,Adjustments!$H:$H,"2L",Adjustments!$I:$I,'Schedule 2L Adjustments'!$V$12,Adjustments!$J:$J,'Schedule 2L Adjustments'!$A71)</f>
        <v>0</v>
      </c>
      <c r="X71" s="309">
        <f t="shared" si="6"/>
        <v>0</v>
      </c>
      <c r="Y71" s="120">
        <f>'As-Filed Schedule 2L'!O71</f>
        <v>0</v>
      </c>
      <c r="Z71" s="313">
        <f>SUMIFS(Adjustments!$G:$G,Adjustments!$H:$H,"2L",Adjustments!$I:$I,'Schedule 2L Adjustments'!$Y$12,Adjustments!$J:$J,'Schedule 2L Adjustments'!$A71)</f>
        <v>0</v>
      </c>
      <c r="AA71" s="309">
        <f t="shared" si="7"/>
        <v>0</v>
      </c>
    </row>
    <row r="72" spans="1:27" x14ac:dyDescent="0.35">
      <c r="A72" s="24">
        <v>58</v>
      </c>
      <c r="B72" s="507" t="str">
        <f>IF('As-Filed Schedule 2L'!B72:D72=0,"",'As-Filed Schedule 2L'!B72:D72)</f>
        <v/>
      </c>
      <c r="C72" s="507"/>
      <c r="D72" s="507"/>
      <c r="F72" s="117">
        <f>'As-Filed Schedule 2L'!F72</f>
        <v>0</v>
      </c>
      <c r="G72" s="313">
        <f>SUMIFS(Adjustments!$G:$G,Adjustments!$H:$H,"2L",Adjustments!$I:$I,'Schedule 2L Adjustments'!$F$12,Adjustments!$J:$J,'Schedule 2L Adjustments'!$A72)</f>
        <v>0</v>
      </c>
      <c r="H72" s="309">
        <f t="shared" si="0"/>
        <v>0</v>
      </c>
      <c r="I72" s="68">
        <f>IFERROR(F72*'As-Filed Schedule 1'!$E$103,0)</f>
        <v>0</v>
      </c>
      <c r="J72" s="310">
        <f>IFERROR(H72*'Adjusted Schedule 1'!$E$104,0)</f>
        <v>0</v>
      </c>
      <c r="K72" s="68">
        <f t="shared" si="1"/>
        <v>0</v>
      </c>
      <c r="L72" s="310">
        <f t="shared" si="2"/>
        <v>0</v>
      </c>
      <c r="N72" s="117">
        <f>'As-Filed Schedule 2L'!J72</f>
        <v>0</v>
      </c>
      <c r="O72" s="313">
        <f>SUMIFS(Adjustments!$G:$G,Adjustments!$H:$H,"2L",Adjustments!$I:$I,'Schedule 2L Adjustments'!$N$12,Adjustments!$J:$J,'Schedule 2L Adjustments'!$A72)</f>
        <v>0</v>
      </c>
      <c r="P72" s="309">
        <f t="shared" si="3"/>
        <v>0</v>
      </c>
      <c r="Q72" s="68">
        <f>IFERROR(N72*'As-Filed Schedule 1'!$E$103,0)</f>
        <v>0</v>
      </c>
      <c r="R72" s="68">
        <f>IFERROR(P72*'Adjusted Schedule 1'!$E$104,0)</f>
        <v>0</v>
      </c>
      <c r="S72" s="68">
        <f t="shared" si="4"/>
        <v>0</v>
      </c>
      <c r="T72" s="310">
        <f t="shared" si="5"/>
        <v>0</v>
      </c>
      <c r="V72" s="120">
        <f>'As-Filed Schedule 2L'!N72</f>
        <v>0</v>
      </c>
      <c r="W72" s="313">
        <f>SUMIFS(Adjustments!$G:$G,Adjustments!$H:$H,"2L",Adjustments!$I:$I,'Schedule 2L Adjustments'!$V$12,Adjustments!$J:$J,'Schedule 2L Adjustments'!$A72)</f>
        <v>0</v>
      </c>
      <c r="X72" s="309">
        <f t="shared" si="6"/>
        <v>0</v>
      </c>
      <c r="Y72" s="120">
        <f>'As-Filed Schedule 2L'!O72</f>
        <v>0</v>
      </c>
      <c r="Z72" s="313">
        <f>SUMIFS(Adjustments!$G:$G,Adjustments!$H:$H,"2L",Adjustments!$I:$I,'Schedule 2L Adjustments'!$Y$12,Adjustments!$J:$J,'Schedule 2L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08984375" defaultRowHeight="14.5" x14ac:dyDescent="0.35"/>
  <cols>
    <col min="1" max="1" width="9.54296875" customWidth="1"/>
    <col min="2" max="2" width="16" customWidth="1"/>
    <col min="3" max="3" width="27.08984375" customWidth="1"/>
    <col min="4" max="4" width="29.6328125" customWidth="1"/>
    <col min="5" max="5" width="2.36328125" customWidth="1"/>
    <col min="6" max="6" width="18.08984375" customWidth="1"/>
    <col min="7" max="7" width="18.08984375" style="261" customWidth="1"/>
    <col min="8" max="8" width="18.08984375" style="48" customWidth="1"/>
    <col min="9" max="9" width="18.08984375" customWidth="1"/>
    <col min="10" max="10" width="18.08984375" style="48" customWidth="1"/>
    <col min="11" max="11" width="18.08984375" customWidth="1"/>
    <col min="12" max="12" width="18.08984375" style="48" customWidth="1"/>
    <col min="13" max="13" width="2.36328125" customWidth="1"/>
    <col min="14" max="14" width="18.08984375" customWidth="1"/>
    <col min="15" max="15" width="18.08984375" style="261" customWidth="1"/>
    <col min="16" max="16" width="18.08984375" style="48" customWidth="1"/>
    <col min="17" max="17" width="18.08984375" customWidth="1"/>
    <col min="18" max="18" width="18.08984375" style="48" customWidth="1"/>
    <col min="19" max="19" width="18.08984375" customWidth="1"/>
    <col min="20" max="20" width="18.08984375" style="48" customWidth="1"/>
    <col min="21" max="21" width="2.36328125" customWidth="1"/>
    <col min="22" max="22" width="11" customWidth="1"/>
    <col min="23" max="23" width="16.08984375" style="261" customWidth="1"/>
    <col min="24" max="24" width="13.36328125" style="48" customWidth="1"/>
    <col min="25" max="25" width="12" customWidth="1"/>
    <col min="26" max="26" width="16.08984375" style="261" customWidth="1"/>
    <col min="27" max="27" width="12" style="48" customWidth="1"/>
  </cols>
  <sheetData>
    <row r="1" spans="1:27" ht="26" x14ac:dyDescent="0.6">
      <c r="A1" s="3" t="s">
        <v>774</v>
      </c>
    </row>
    <row r="2" spans="1:27" ht="21" x14ac:dyDescent="0.5">
      <c r="A2" s="2" t="s">
        <v>772</v>
      </c>
    </row>
    <row r="3" spans="1:27" ht="24.9" customHeight="1" x14ac:dyDescent="0.5">
      <c r="A3" s="488" t="s">
        <v>847</v>
      </c>
      <c r="B3" s="488"/>
      <c r="C3" s="488"/>
      <c r="D3" s="488"/>
      <c r="E3" s="488"/>
      <c r="F3" s="488"/>
      <c r="G3" s="488"/>
      <c r="H3" s="488"/>
      <c r="I3" s="488"/>
      <c r="J3" s="488"/>
      <c r="K3" s="488"/>
      <c r="L3" s="321"/>
    </row>
    <row r="4" spans="1:27" ht="21" customHeight="1" x14ac:dyDescent="0.5">
      <c r="A4" s="242" t="s">
        <v>834</v>
      </c>
    </row>
    <row r="5" spans="1:27" x14ac:dyDescent="0.35">
      <c r="A5" s="1" t="s">
        <v>773</v>
      </c>
      <c r="C5" s="420" t="str">
        <f>Results!$C$6</f>
        <v>Diversus Health</v>
      </c>
    </row>
    <row r="6" spans="1:27" x14ac:dyDescent="0.35">
      <c r="A6" s="1" t="s">
        <v>0</v>
      </c>
      <c r="C6" s="35">
        <f>Results!$C$7</f>
        <v>45473</v>
      </c>
      <c r="F6" s="35"/>
      <c r="G6" s="319"/>
      <c r="H6" s="60"/>
    </row>
    <row r="8" spans="1:27" x14ac:dyDescent="0.35">
      <c r="A8" s="1" t="s">
        <v>253</v>
      </c>
      <c r="B8" s="1" t="s">
        <v>835</v>
      </c>
      <c r="C8" s="1"/>
      <c r="I8" s="119" t="str">
        <f>'As-Filed Schedule 2M'!K8</f>
        <v>Yes/No</v>
      </c>
      <c r="J8" s="41" t="s">
        <v>259</v>
      </c>
    </row>
    <row r="10" spans="1:27" x14ac:dyDescent="0.35">
      <c r="A10" s="1" t="s">
        <v>254</v>
      </c>
      <c r="B10" s="1" t="s">
        <v>256</v>
      </c>
      <c r="C10" s="1"/>
    </row>
    <row r="12" spans="1:27" x14ac:dyDescent="0.35">
      <c r="B12" s="502">
        <v>1</v>
      </c>
      <c r="C12" s="502"/>
      <c r="D12" s="502"/>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3" t="s">
        <v>255</v>
      </c>
      <c r="C13" s="503"/>
      <c r="D13" s="503"/>
      <c r="F13" s="505" t="s">
        <v>261</v>
      </c>
      <c r="G13" s="510"/>
      <c r="H13" s="510"/>
      <c r="I13" s="510"/>
      <c r="J13" s="510"/>
      <c r="K13" s="510"/>
      <c r="L13" s="506"/>
      <c r="N13" s="505" t="s">
        <v>262</v>
      </c>
      <c r="O13" s="510"/>
      <c r="P13" s="510"/>
      <c r="Q13" s="510"/>
      <c r="R13" s="510"/>
      <c r="S13" s="510"/>
      <c r="T13" s="506"/>
      <c r="V13" s="504" t="s">
        <v>250</v>
      </c>
      <c r="W13" s="567" t="s">
        <v>620</v>
      </c>
      <c r="X13" s="568" t="s">
        <v>621</v>
      </c>
      <c r="Y13" s="504" t="s">
        <v>312</v>
      </c>
      <c r="Z13" s="567" t="s">
        <v>630</v>
      </c>
      <c r="AA13" s="568" t="s">
        <v>631</v>
      </c>
    </row>
    <row r="14" spans="1:27" ht="55.5" customHeight="1" x14ac:dyDescent="0.35">
      <c r="B14" s="503"/>
      <c r="C14" s="503"/>
      <c r="D14" s="503"/>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4"/>
      <c r="W14" s="567"/>
      <c r="X14" s="568"/>
      <c r="Y14" s="504"/>
      <c r="Z14" s="567"/>
      <c r="AA14" s="568"/>
    </row>
    <row r="15" spans="1:27" x14ac:dyDescent="0.35">
      <c r="A15" s="24">
        <v>1</v>
      </c>
      <c r="B15" s="507" t="str">
        <f>IF('As-Filed Schedule 2M'!B15:D15=0,"",'As-Filed Schedule 2M'!B15:D15)</f>
        <v/>
      </c>
      <c r="C15" s="507"/>
      <c r="D15" s="507"/>
      <c r="F15" s="117">
        <f>'As-Filed Schedule 2M'!F15</f>
        <v>0</v>
      </c>
      <c r="G15" s="313">
        <f>SUMIFS(Adjustments!$G:$G,Adjustments!$H:$H,"2M",Adjustments!$I:$I,'Schedule 2M Adjustments'!$F$12,Adjustments!$J:$J,'Schedule 2M Adjustments'!$A15)</f>
        <v>0</v>
      </c>
      <c r="H15" s="309">
        <f>SUM(F15:G15)</f>
        <v>0</v>
      </c>
      <c r="I15" s="68">
        <f>IFERROR(F15*'As-Filed Schedule 1'!$E$103,0)</f>
        <v>0</v>
      </c>
      <c r="J15" s="310">
        <f>IFERROR(H15*'Adjusted Schedule 1'!$E$104,0)</f>
        <v>0</v>
      </c>
      <c r="K15" s="68">
        <f>SUM(F15,I15)</f>
        <v>0</v>
      </c>
      <c r="L15" s="310">
        <f>SUM(H15,J15)</f>
        <v>0</v>
      </c>
      <c r="N15" s="117">
        <f>'As-Filed Schedule 2M'!J15</f>
        <v>0</v>
      </c>
      <c r="O15" s="313">
        <f>SUMIFS(Adjustments!$G:$G,Adjustments!$H:$H,"2M",Adjustments!$I:$I,'Schedule 2M Adjustments'!$N$12,Adjustments!$J:$J,'Schedule 2M Adjustments'!$A15)</f>
        <v>0</v>
      </c>
      <c r="P15" s="309">
        <f>SUM(N15:O15)</f>
        <v>0</v>
      </c>
      <c r="Q15" s="68">
        <f>IFERROR(N15*'As-Filed Schedule 1'!$E$103,0)</f>
        <v>0</v>
      </c>
      <c r="R15" s="68">
        <f>IFERROR(P15*'Adjusted Schedule 1'!$E$104,0)</f>
        <v>0</v>
      </c>
      <c r="S15" s="68">
        <f>SUM(N15,Q15)</f>
        <v>0</v>
      </c>
      <c r="T15" s="310">
        <f>SUM(P15,R15)</f>
        <v>0</v>
      </c>
      <c r="V15" s="120">
        <f>'As-Filed Schedule 2M'!N15</f>
        <v>0</v>
      </c>
      <c r="W15" s="313">
        <f>SUMIFS(Adjustments!$G:$G,Adjustments!$H:$H,"2M",Adjustments!$I:$I,'Schedule 2M Adjustments'!$V$12,Adjustments!$J:$J,'Schedule 2M Adjustments'!$A15)</f>
        <v>0</v>
      </c>
      <c r="X15" s="309">
        <f>SUM(V15:W15)</f>
        <v>0</v>
      </c>
      <c r="Y15" s="120">
        <f>'As-Filed Schedule 2M'!O15</f>
        <v>0</v>
      </c>
      <c r="Z15" s="313">
        <f>SUMIFS(Adjustments!$G:$G,Adjustments!$H:$H,"2M",Adjustments!$I:$I,'Schedule 2M Adjustments'!$Y$12,Adjustments!$J:$J,'Schedule 2M Adjustments'!$A15)</f>
        <v>0</v>
      </c>
      <c r="AA15" s="309">
        <f>SUM(Y15:Z15)</f>
        <v>0</v>
      </c>
    </row>
    <row r="16" spans="1:27" x14ac:dyDescent="0.35">
      <c r="A16" s="24">
        <v>2</v>
      </c>
      <c r="B16" s="507" t="str">
        <f>IF('As-Filed Schedule 2M'!B16:D16=0,"",'As-Filed Schedule 2M'!B16:D16)</f>
        <v/>
      </c>
      <c r="C16" s="507"/>
      <c r="D16" s="507"/>
      <c r="F16" s="117">
        <f>'As-Filed Schedule 2M'!F16</f>
        <v>0</v>
      </c>
      <c r="G16" s="313">
        <f>SUMIFS(Adjustments!$G:$G,Adjustments!$H:$H,"2M",Adjustments!$I:$I,'Schedule 2M Adjustments'!$F$12,Adjustments!$J:$J,'Schedule 2M Adjustments'!$A16)</f>
        <v>0</v>
      </c>
      <c r="H16" s="309">
        <f t="shared" ref="H16:H72" si="0">SUM(F16:G16)</f>
        <v>0</v>
      </c>
      <c r="I16" s="68">
        <f>IFERROR(F16*'As-Filed Schedule 1'!$E$103,0)</f>
        <v>0</v>
      </c>
      <c r="J16" s="310">
        <f>IFERROR(H16*'Adjusted Schedule 1'!$E$104,0)</f>
        <v>0</v>
      </c>
      <c r="K16" s="68">
        <f t="shared" ref="K16:K72" si="1">SUM(F16,I16)</f>
        <v>0</v>
      </c>
      <c r="L16" s="310">
        <f t="shared" ref="L16:L72" si="2">SUM(H16,J16)</f>
        <v>0</v>
      </c>
      <c r="N16" s="117">
        <f>'As-Filed Schedule 2M'!J16</f>
        <v>0</v>
      </c>
      <c r="O16" s="313">
        <f>SUMIFS(Adjustments!$G:$G,Adjustments!$H:$H,"2M",Adjustments!$I:$I,'Schedule 2M Adjustments'!$N$12,Adjustments!$J:$J,'Schedule 2M Adjustments'!$A16)</f>
        <v>0</v>
      </c>
      <c r="P16" s="309">
        <f t="shared" ref="P16:P72" si="3">SUM(N16:O16)</f>
        <v>0</v>
      </c>
      <c r="Q16" s="68">
        <f>IFERROR(N16*'As-Filed Schedule 1'!$E$103,0)</f>
        <v>0</v>
      </c>
      <c r="R16" s="68">
        <f>IFERROR(P16*'Adjusted Schedule 1'!$E$104,0)</f>
        <v>0</v>
      </c>
      <c r="S16" s="68">
        <f t="shared" ref="S16:S72" si="4">SUM(N16,Q16)</f>
        <v>0</v>
      </c>
      <c r="T16" s="310">
        <f t="shared" ref="T16:T72" si="5">SUM(P16,R16)</f>
        <v>0</v>
      </c>
      <c r="V16" s="120">
        <f>'As-Filed Schedule 2M'!N16</f>
        <v>0</v>
      </c>
      <c r="W16" s="313">
        <f>SUMIFS(Adjustments!$G:$G,Adjustments!$H:$H,"2M",Adjustments!$I:$I,'Schedule 2M Adjustments'!$V$12,Adjustments!$J:$J,'Schedule 2M Adjustments'!$A16)</f>
        <v>0</v>
      </c>
      <c r="X16" s="309">
        <f t="shared" ref="X16:X72" si="6">SUM(V16:W16)</f>
        <v>0</v>
      </c>
      <c r="Y16" s="120">
        <f>'As-Filed Schedule 2M'!O16</f>
        <v>0</v>
      </c>
      <c r="Z16" s="313">
        <f>SUMIFS(Adjustments!$G:$G,Adjustments!$H:$H,"2M",Adjustments!$I:$I,'Schedule 2M Adjustments'!$Y$12,Adjustments!$J:$J,'Schedule 2M Adjustments'!$A16)</f>
        <v>0</v>
      </c>
      <c r="AA16" s="309">
        <f t="shared" ref="AA16:AA72" si="7">SUM(Y16:Z16)</f>
        <v>0</v>
      </c>
    </row>
    <row r="17" spans="1:27" x14ac:dyDescent="0.35">
      <c r="A17" s="24">
        <v>3</v>
      </c>
      <c r="B17" s="507" t="str">
        <f>IF('As-Filed Schedule 2M'!B17:D17=0,"",'As-Filed Schedule 2M'!B17:D17)</f>
        <v/>
      </c>
      <c r="C17" s="507"/>
      <c r="D17" s="507"/>
      <c r="F17" s="117">
        <f>'As-Filed Schedule 2M'!F17</f>
        <v>0</v>
      </c>
      <c r="G17" s="313">
        <f>SUMIFS(Adjustments!$G:$G,Adjustments!$H:$H,"2M",Adjustments!$I:$I,'Schedule 2M Adjustments'!$F$12,Adjustments!$J:$J,'Schedule 2M Adjustments'!$A17)</f>
        <v>0</v>
      </c>
      <c r="H17" s="309">
        <f t="shared" si="0"/>
        <v>0</v>
      </c>
      <c r="I17" s="68">
        <f>IFERROR(F17*'As-Filed Schedule 1'!$E$103,0)</f>
        <v>0</v>
      </c>
      <c r="J17" s="310">
        <f>IFERROR(H17*'Adjusted Schedule 1'!$E$104,0)</f>
        <v>0</v>
      </c>
      <c r="K17" s="68">
        <f t="shared" si="1"/>
        <v>0</v>
      </c>
      <c r="L17" s="310">
        <f t="shared" si="2"/>
        <v>0</v>
      </c>
      <c r="N17" s="117">
        <f>'As-Filed Schedule 2M'!J17</f>
        <v>0</v>
      </c>
      <c r="O17" s="313">
        <f>SUMIFS(Adjustments!$G:$G,Adjustments!$H:$H,"2M",Adjustments!$I:$I,'Schedule 2M Adjustments'!$N$12,Adjustments!$J:$J,'Schedule 2M Adjustments'!$A17)</f>
        <v>0</v>
      </c>
      <c r="P17" s="309">
        <f t="shared" si="3"/>
        <v>0</v>
      </c>
      <c r="Q17" s="68">
        <f>IFERROR(N17*'As-Filed Schedule 1'!$E$103,0)</f>
        <v>0</v>
      </c>
      <c r="R17" s="68">
        <f>IFERROR(P17*'Adjusted Schedule 1'!$E$104,0)</f>
        <v>0</v>
      </c>
      <c r="S17" s="68">
        <f t="shared" si="4"/>
        <v>0</v>
      </c>
      <c r="T17" s="310">
        <f t="shared" si="5"/>
        <v>0</v>
      </c>
      <c r="V17" s="120">
        <f>'As-Filed Schedule 2M'!N17</f>
        <v>0</v>
      </c>
      <c r="W17" s="313">
        <f>SUMIFS(Adjustments!$G:$G,Adjustments!$H:$H,"2M",Adjustments!$I:$I,'Schedule 2M Adjustments'!$V$12,Adjustments!$J:$J,'Schedule 2M Adjustments'!$A17)</f>
        <v>0</v>
      </c>
      <c r="X17" s="309">
        <f t="shared" si="6"/>
        <v>0</v>
      </c>
      <c r="Y17" s="120">
        <f>'As-Filed Schedule 2M'!O17</f>
        <v>0</v>
      </c>
      <c r="Z17" s="313">
        <f>SUMIFS(Adjustments!$G:$G,Adjustments!$H:$H,"2M",Adjustments!$I:$I,'Schedule 2M Adjustments'!$Y$12,Adjustments!$J:$J,'Schedule 2M Adjustments'!$A17)</f>
        <v>0</v>
      </c>
      <c r="AA17" s="309">
        <f t="shared" si="7"/>
        <v>0</v>
      </c>
    </row>
    <row r="18" spans="1:27" x14ac:dyDescent="0.35">
      <c r="A18" s="24">
        <v>4</v>
      </c>
      <c r="B18" s="507" t="str">
        <f>IF('As-Filed Schedule 2M'!B18:D18=0,"",'As-Filed Schedule 2M'!B18:D18)</f>
        <v/>
      </c>
      <c r="C18" s="507"/>
      <c r="D18" s="507"/>
      <c r="F18" s="117">
        <f>'As-Filed Schedule 2M'!F18</f>
        <v>0</v>
      </c>
      <c r="G18" s="313">
        <f>SUMIFS(Adjustments!$G:$G,Adjustments!$H:$H,"2M",Adjustments!$I:$I,'Schedule 2M Adjustments'!$F$12,Adjustments!$J:$J,'Schedule 2M Adjustments'!$A18)</f>
        <v>0</v>
      </c>
      <c r="H18" s="309">
        <f t="shared" si="0"/>
        <v>0</v>
      </c>
      <c r="I18" s="68">
        <f>IFERROR(F18*'As-Filed Schedule 1'!$E$103,0)</f>
        <v>0</v>
      </c>
      <c r="J18" s="310">
        <f>IFERROR(H18*'Adjusted Schedule 1'!$E$104,0)</f>
        <v>0</v>
      </c>
      <c r="K18" s="68">
        <f>SUM(F18,I18)</f>
        <v>0</v>
      </c>
      <c r="L18" s="310">
        <f>SUM(H18,J18)</f>
        <v>0</v>
      </c>
      <c r="N18" s="117">
        <f>'As-Filed Schedule 2M'!J18</f>
        <v>0</v>
      </c>
      <c r="O18" s="313">
        <f>SUMIFS(Adjustments!$G:$G,Adjustments!$H:$H,"2M",Adjustments!$I:$I,'Schedule 2M Adjustments'!$N$12,Adjustments!$J:$J,'Schedule 2M Adjustments'!$A18)</f>
        <v>0</v>
      </c>
      <c r="P18" s="309">
        <f t="shared" si="3"/>
        <v>0</v>
      </c>
      <c r="Q18" s="68">
        <f>IFERROR(N18*'As-Filed Schedule 1'!$E$103,0)</f>
        <v>0</v>
      </c>
      <c r="R18" s="68">
        <f>IFERROR(P18*'Adjusted Schedule 1'!$E$104,0)</f>
        <v>0</v>
      </c>
      <c r="S18" s="68">
        <f t="shared" si="4"/>
        <v>0</v>
      </c>
      <c r="T18" s="310">
        <f t="shared" si="5"/>
        <v>0</v>
      </c>
      <c r="V18" s="120">
        <f>'As-Filed Schedule 2M'!N18</f>
        <v>0</v>
      </c>
      <c r="W18" s="313">
        <f>SUMIFS(Adjustments!$G:$G,Adjustments!$H:$H,"2M",Adjustments!$I:$I,'Schedule 2M Adjustments'!$V$12,Adjustments!$J:$J,'Schedule 2M Adjustments'!$A18)</f>
        <v>0</v>
      </c>
      <c r="X18" s="309">
        <f t="shared" si="6"/>
        <v>0</v>
      </c>
      <c r="Y18" s="120">
        <f>'As-Filed Schedule 2M'!O18</f>
        <v>0</v>
      </c>
      <c r="Z18" s="313">
        <f>SUMIFS(Adjustments!$G:$G,Adjustments!$H:$H,"2M",Adjustments!$I:$I,'Schedule 2M Adjustments'!$Y$12,Adjustments!$J:$J,'Schedule 2M Adjustments'!$A18)</f>
        <v>0</v>
      </c>
      <c r="AA18" s="309">
        <f t="shared" si="7"/>
        <v>0</v>
      </c>
    </row>
    <row r="19" spans="1:27" x14ac:dyDescent="0.35">
      <c r="A19" s="24">
        <v>5</v>
      </c>
      <c r="B19" s="507" t="str">
        <f>IF('As-Filed Schedule 2M'!B19:D19=0,"",'As-Filed Schedule 2M'!B19:D19)</f>
        <v/>
      </c>
      <c r="C19" s="507"/>
      <c r="D19" s="507"/>
      <c r="F19" s="117">
        <f>'As-Filed Schedule 2M'!F19</f>
        <v>0</v>
      </c>
      <c r="G19" s="313">
        <f>SUMIFS(Adjustments!$G:$G,Adjustments!$H:$H,"2M",Adjustments!$I:$I,'Schedule 2M Adjustments'!$F$12,Adjustments!$J:$J,'Schedule 2M Adjustments'!$A19)</f>
        <v>0</v>
      </c>
      <c r="H19" s="309">
        <f t="shared" si="0"/>
        <v>0</v>
      </c>
      <c r="I19" s="68">
        <f>IFERROR(F19*'As-Filed Schedule 1'!$E$103,0)</f>
        <v>0</v>
      </c>
      <c r="J19" s="310">
        <f>IFERROR(H19*'Adjusted Schedule 1'!$E$104,0)</f>
        <v>0</v>
      </c>
      <c r="K19" s="68">
        <f t="shared" si="1"/>
        <v>0</v>
      </c>
      <c r="L19" s="310">
        <f>SUM(H19,J19)</f>
        <v>0</v>
      </c>
      <c r="N19" s="117">
        <f>'As-Filed Schedule 2M'!J19</f>
        <v>0</v>
      </c>
      <c r="O19" s="313">
        <f>SUMIFS(Adjustments!$G:$G,Adjustments!$H:$H,"2M",Adjustments!$I:$I,'Schedule 2M Adjustments'!$N$12,Adjustments!$J:$J,'Schedule 2M Adjustments'!$A19)</f>
        <v>0</v>
      </c>
      <c r="P19" s="309">
        <f t="shared" si="3"/>
        <v>0</v>
      </c>
      <c r="Q19" s="68">
        <f>IFERROR(N19*'As-Filed Schedule 1'!$E$103,0)</f>
        <v>0</v>
      </c>
      <c r="R19" s="68">
        <f>IFERROR(P19*'Adjusted Schedule 1'!$E$104,0)</f>
        <v>0</v>
      </c>
      <c r="S19" s="68">
        <f t="shared" si="4"/>
        <v>0</v>
      </c>
      <c r="T19" s="310">
        <f t="shared" si="5"/>
        <v>0</v>
      </c>
      <c r="V19" s="120">
        <f>'As-Filed Schedule 2M'!N19</f>
        <v>0</v>
      </c>
      <c r="W19" s="313">
        <f>SUMIFS(Adjustments!$G:$G,Adjustments!$H:$H,"2M",Adjustments!$I:$I,'Schedule 2M Adjustments'!$V$12,Adjustments!$J:$J,'Schedule 2M Adjustments'!$A19)</f>
        <v>0</v>
      </c>
      <c r="X19" s="309">
        <f t="shared" si="6"/>
        <v>0</v>
      </c>
      <c r="Y19" s="120">
        <f>'As-Filed Schedule 2M'!O19</f>
        <v>0</v>
      </c>
      <c r="Z19" s="313">
        <f>SUMIFS(Adjustments!$G:$G,Adjustments!$H:$H,"2M",Adjustments!$I:$I,'Schedule 2M Adjustments'!$Y$12,Adjustments!$J:$J,'Schedule 2M Adjustments'!$A19)</f>
        <v>0</v>
      </c>
      <c r="AA19" s="309">
        <f t="shared" si="7"/>
        <v>0</v>
      </c>
    </row>
    <row r="20" spans="1:27" x14ac:dyDescent="0.35">
      <c r="A20" s="24">
        <v>6</v>
      </c>
      <c r="B20" s="507" t="str">
        <f>IF('As-Filed Schedule 2M'!B20:D20=0,"",'As-Filed Schedule 2M'!B20:D20)</f>
        <v/>
      </c>
      <c r="C20" s="507"/>
      <c r="D20" s="507"/>
      <c r="F20" s="117">
        <f>'As-Filed Schedule 2M'!F20</f>
        <v>0</v>
      </c>
      <c r="G20" s="313">
        <f>SUMIFS(Adjustments!$G:$G,Adjustments!$H:$H,"2M",Adjustments!$I:$I,'Schedule 2M Adjustments'!$F$12,Adjustments!$J:$J,'Schedule 2M Adjustments'!$A20)</f>
        <v>0</v>
      </c>
      <c r="H20" s="309">
        <f t="shared" si="0"/>
        <v>0</v>
      </c>
      <c r="I20" s="68">
        <f>IFERROR(F20*'As-Filed Schedule 1'!$E$103,0)</f>
        <v>0</v>
      </c>
      <c r="J20" s="310">
        <f>IFERROR(H20*'Adjusted Schedule 1'!$E$104,0)</f>
        <v>0</v>
      </c>
      <c r="K20" s="68">
        <f>SUM(F20,I20)</f>
        <v>0</v>
      </c>
      <c r="L20" s="310">
        <f t="shared" si="2"/>
        <v>0</v>
      </c>
      <c r="N20" s="117">
        <f>'As-Filed Schedule 2M'!J20</f>
        <v>0</v>
      </c>
      <c r="O20" s="313">
        <f>SUMIFS(Adjustments!$G:$G,Adjustments!$H:$H,"2M",Adjustments!$I:$I,'Schedule 2M Adjustments'!$N$12,Adjustments!$J:$J,'Schedule 2M Adjustments'!$A20)</f>
        <v>0</v>
      </c>
      <c r="P20" s="309">
        <f t="shared" si="3"/>
        <v>0</v>
      </c>
      <c r="Q20" s="68">
        <f>IFERROR(N20*'As-Filed Schedule 1'!$E$103,0)</f>
        <v>0</v>
      </c>
      <c r="R20" s="68">
        <f>IFERROR(P20*'Adjusted Schedule 1'!$E$104,0)</f>
        <v>0</v>
      </c>
      <c r="S20" s="68">
        <f t="shared" si="4"/>
        <v>0</v>
      </c>
      <c r="T20" s="310">
        <f t="shared" si="5"/>
        <v>0</v>
      </c>
      <c r="V20" s="120">
        <f>'As-Filed Schedule 2M'!N20</f>
        <v>0</v>
      </c>
      <c r="W20" s="313">
        <f>SUMIFS(Adjustments!$G:$G,Adjustments!$H:$H,"2M",Adjustments!$I:$I,'Schedule 2M Adjustments'!$V$12,Adjustments!$J:$J,'Schedule 2M Adjustments'!$A20)</f>
        <v>0</v>
      </c>
      <c r="X20" s="309">
        <f t="shared" si="6"/>
        <v>0</v>
      </c>
      <c r="Y20" s="120">
        <f>'As-Filed Schedule 2M'!O20</f>
        <v>0</v>
      </c>
      <c r="Z20" s="313">
        <f>SUMIFS(Adjustments!$G:$G,Adjustments!$H:$H,"2M",Adjustments!$I:$I,'Schedule 2M Adjustments'!$Y$12,Adjustments!$J:$J,'Schedule 2M Adjustments'!$A20)</f>
        <v>0</v>
      </c>
      <c r="AA20" s="309">
        <f t="shared" si="7"/>
        <v>0</v>
      </c>
    </row>
    <row r="21" spans="1:27" x14ac:dyDescent="0.35">
      <c r="A21" s="24">
        <v>7</v>
      </c>
      <c r="B21" s="507" t="str">
        <f>IF('As-Filed Schedule 2M'!B21:D21=0,"",'As-Filed Schedule 2M'!B21:D21)</f>
        <v/>
      </c>
      <c r="C21" s="507"/>
      <c r="D21" s="507"/>
      <c r="F21" s="117">
        <f>'As-Filed Schedule 2M'!F21</f>
        <v>0</v>
      </c>
      <c r="G21" s="313">
        <f>SUMIFS(Adjustments!$G:$G,Adjustments!$H:$H,"2M",Adjustments!$I:$I,'Schedule 2M Adjustments'!$F$12,Adjustments!$J:$J,'Schedule 2M Adjustments'!$A21)</f>
        <v>0</v>
      </c>
      <c r="H21" s="309">
        <f t="shared" si="0"/>
        <v>0</v>
      </c>
      <c r="I21" s="68">
        <f>IFERROR(F21*'As-Filed Schedule 1'!$E$103,0)</f>
        <v>0</v>
      </c>
      <c r="J21" s="310">
        <f>IFERROR(H21*'Adjusted Schedule 1'!$E$104,0)</f>
        <v>0</v>
      </c>
      <c r="K21" s="68">
        <f t="shared" si="1"/>
        <v>0</v>
      </c>
      <c r="L21" s="310">
        <f t="shared" si="2"/>
        <v>0</v>
      </c>
      <c r="N21" s="117">
        <f>'As-Filed Schedule 2M'!J21</f>
        <v>0</v>
      </c>
      <c r="O21" s="313">
        <f>SUMIFS(Adjustments!$G:$G,Adjustments!$H:$H,"2M",Adjustments!$I:$I,'Schedule 2M Adjustments'!$N$12,Adjustments!$J:$J,'Schedule 2M Adjustments'!$A21)</f>
        <v>0</v>
      </c>
      <c r="P21" s="309">
        <f t="shared" si="3"/>
        <v>0</v>
      </c>
      <c r="Q21" s="68">
        <f>IFERROR(N21*'As-Filed Schedule 1'!$E$103,0)</f>
        <v>0</v>
      </c>
      <c r="R21" s="68">
        <f>IFERROR(P21*'Adjusted Schedule 1'!$E$104,0)</f>
        <v>0</v>
      </c>
      <c r="S21" s="68">
        <f>SUM(N21,Q21)</f>
        <v>0</v>
      </c>
      <c r="T21" s="310">
        <f>SUM(P21,R21)</f>
        <v>0</v>
      </c>
      <c r="V21" s="120">
        <f>'As-Filed Schedule 2M'!N21</f>
        <v>0</v>
      </c>
      <c r="W21" s="313">
        <f>SUMIFS(Adjustments!$G:$G,Adjustments!$H:$H,"2M",Adjustments!$I:$I,'Schedule 2M Adjustments'!$V$12,Adjustments!$J:$J,'Schedule 2M Adjustments'!$A21)</f>
        <v>0</v>
      </c>
      <c r="X21" s="309">
        <f t="shared" si="6"/>
        <v>0</v>
      </c>
      <c r="Y21" s="120">
        <f>'As-Filed Schedule 2M'!O21</f>
        <v>0</v>
      </c>
      <c r="Z21" s="313">
        <f>SUMIFS(Adjustments!$G:$G,Adjustments!$H:$H,"2M",Adjustments!$I:$I,'Schedule 2M Adjustments'!$Y$12,Adjustments!$J:$J,'Schedule 2M Adjustments'!$A21)</f>
        <v>0</v>
      </c>
      <c r="AA21" s="309">
        <f t="shared" si="7"/>
        <v>0</v>
      </c>
    </row>
    <row r="22" spans="1:27" x14ac:dyDescent="0.35">
      <c r="A22" s="24">
        <v>8</v>
      </c>
      <c r="B22" s="507" t="str">
        <f>IF('As-Filed Schedule 2M'!B22:D22=0,"",'As-Filed Schedule 2M'!B22:D22)</f>
        <v/>
      </c>
      <c r="C22" s="507"/>
      <c r="D22" s="507"/>
      <c r="F22" s="117">
        <f>'As-Filed Schedule 2M'!F22</f>
        <v>0</v>
      </c>
      <c r="G22" s="313">
        <f>SUMIFS(Adjustments!$G:$G,Adjustments!$H:$H,"2M",Adjustments!$I:$I,'Schedule 2M Adjustments'!$F$12,Adjustments!$J:$J,'Schedule 2M Adjustments'!$A22)</f>
        <v>0</v>
      </c>
      <c r="H22" s="309">
        <f t="shared" si="0"/>
        <v>0</v>
      </c>
      <c r="I22" s="68">
        <f>IFERROR(F22*'As-Filed Schedule 1'!$E$103,0)</f>
        <v>0</v>
      </c>
      <c r="J22" s="310">
        <f>IFERROR(H22*'Adjusted Schedule 1'!$E$104,0)</f>
        <v>0</v>
      </c>
      <c r="K22" s="68">
        <f t="shared" si="1"/>
        <v>0</v>
      </c>
      <c r="L22" s="310">
        <f t="shared" si="2"/>
        <v>0</v>
      </c>
      <c r="N22" s="117">
        <f>'As-Filed Schedule 2M'!J22</f>
        <v>0</v>
      </c>
      <c r="O22" s="313">
        <f>SUMIFS(Adjustments!$G:$G,Adjustments!$H:$H,"2M",Adjustments!$I:$I,'Schedule 2M Adjustments'!$N$12,Adjustments!$J:$J,'Schedule 2M Adjustments'!$A22)</f>
        <v>0</v>
      </c>
      <c r="P22" s="309">
        <f t="shared" si="3"/>
        <v>0</v>
      </c>
      <c r="Q22" s="68">
        <f>IFERROR(N22*'As-Filed Schedule 1'!$E$103,0)</f>
        <v>0</v>
      </c>
      <c r="R22" s="68">
        <f>IFERROR(P22*'Adjusted Schedule 1'!$E$104,0)</f>
        <v>0</v>
      </c>
      <c r="S22" s="68">
        <f t="shared" si="4"/>
        <v>0</v>
      </c>
      <c r="T22" s="310">
        <f t="shared" si="5"/>
        <v>0</v>
      </c>
      <c r="V22" s="120">
        <f>'As-Filed Schedule 2M'!N22</f>
        <v>0</v>
      </c>
      <c r="W22" s="313">
        <f>SUMIFS(Adjustments!$G:$G,Adjustments!$H:$H,"2M",Adjustments!$I:$I,'Schedule 2M Adjustments'!$V$12,Adjustments!$J:$J,'Schedule 2M Adjustments'!$A22)</f>
        <v>0</v>
      </c>
      <c r="X22" s="309">
        <f t="shared" si="6"/>
        <v>0</v>
      </c>
      <c r="Y22" s="120">
        <f>'As-Filed Schedule 2M'!O22</f>
        <v>0</v>
      </c>
      <c r="Z22" s="313">
        <f>SUMIFS(Adjustments!$G:$G,Adjustments!$H:$H,"2M",Adjustments!$I:$I,'Schedule 2M Adjustments'!$Y$12,Adjustments!$J:$J,'Schedule 2M Adjustments'!$A22)</f>
        <v>0</v>
      </c>
      <c r="AA22" s="309">
        <f t="shared" si="7"/>
        <v>0</v>
      </c>
    </row>
    <row r="23" spans="1:27" x14ac:dyDescent="0.35">
      <c r="A23" s="24">
        <v>9</v>
      </c>
      <c r="B23" s="507" t="str">
        <f>IF('As-Filed Schedule 2M'!B23:D23=0,"",'As-Filed Schedule 2M'!B23:D23)</f>
        <v/>
      </c>
      <c r="C23" s="507"/>
      <c r="D23" s="507"/>
      <c r="F23" s="117">
        <f>'As-Filed Schedule 2M'!F23</f>
        <v>0</v>
      </c>
      <c r="G23" s="313">
        <f>SUMIFS(Adjustments!$G:$G,Adjustments!$H:$H,"2M",Adjustments!$I:$I,'Schedule 2M Adjustments'!$F$12,Adjustments!$J:$J,'Schedule 2M Adjustments'!$A23)</f>
        <v>0</v>
      </c>
      <c r="H23" s="309">
        <f t="shared" si="0"/>
        <v>0</v>
      </c>
      <c r="I23" s="68">
        <f>IFERROR(F23*'As-Filed Schedule 1'!$E$103,0)</f>
        <v>0</v>
      </c>
      <c r="J23" s="310">
        <f>IFERROR(H23*'Adjusted Schedule 1'!$E$104,0)</f>
        <v>0</v>
      </c>
      <c r="K23" s="68">
        <f t="shared" si="1"/>
        <v>0</v>
      </c>
      <c r="L23" s="310">
        <f t="shared" si="2"/>
        <v>0</v>
      </c>
      <c r="N23" s="117">
        <f>'As-Filed Schedule 2M'!J23</f>
        <v>0</v>
      </c>
      <c r="O23" s="313">
        <f>SUMIFS(Adjustments!$G:$G,Adjustments!$H:$H,"2M",Adjustments!$I:$I,'Schedule 2M Adjustments'!$N$12,Adjustments!$J:$J,'Schedule 2M Adjustments'!$A23)</f>
        <v>0</v>
      </c>
      <c r="P23" s="309">
        <f t="shared" si="3"/>
        <v>0</v>
      </c>
      <c r="Q23" s="68">
        <f>IFERROR(N23*'As-Filed Schedule 1'!$E$103,0)</f>
        <v>0</v>
      </c>
      <c r="R23" s="68">
        <f>IFERROR(P23*'Adjusted Schedule 1'!$E$104,0)</f>
        <v>0</v>
      </c>
      <c r="S23" s="68">
        <f t="shared" si="4"/>
        <v>0</v>
      </c>
      <c r="T23" s="310">
        <f t="shared" si="5"/>
        <v>0</v>
      </c>
      <c r="V23" s="120">
        <f>'As-Filed Schedule 2M'!N23</f>
        <v>0</v>
      </c>
      <c r="W23" s="313">
        <f>SUMIFS(Adjustments!$G:$G,Adjustments!$H:$H,"2M",Adjustments!$I:$I,'Schedule 2M Adjustments'!$V$12,Adjustments!$J:$J,'Schedule 2M Adjustments'!$A23)</f>
        <v>0</v>
      </c>
      <c r="X23" s="309">
        <f t="shared" si="6"/>
        <v>0</v>
      </c>
      <c r="Y23" s="120">
        <f>'As-Filed Schedule 2M'!O23</f>
        <v>0</v>
      </c>
      <c r="Z23" s="313">
        <f>SUMIFS(Adjustments!$G:$G,Adjustments!$H:$H,"2M",Adjustments!$I:$I,'Schedule 2M Adjustments'!$Y$12,Adjustments!$J:$J,'Schedule 2M Adjustments'!$A23)</f>
        <v>0</v>
      </c>
      <c r="AA23" s="309">
        <f t="shared" si="7"/>
        <v>0</v>
      </c>
    </row>
    <row r="24" spans="1:27" x14ac:dyDescent="0.35">
      <c r="A24" s="24">
        <v>10</v>
      </c>
      <c r="B24" s="507" t="str">
        <f>IF('As-Filed Schedule 2M'!B24:D24=0,"",'As-Filed Schedule 2M'!B24:D24)</f>
        <v/>
      </c>
      <c r="C24" s="507"/>
      <c r="D24" s="507"/>
      <c r="F24" s="117">
        <f>'As-Filed Schedule 2M'!F24</f>
        <v>0</v>
      </c>
      <c r="G24" s="313">
        <f>SUMIFS(Adjustments!$G:$G,Adjustments!$H:$H,"2M",Adjustments!$I:$I,'Schedule 2M Adjustments'!$F$12,Adjustments!$J:$J,'Schedule 2M Adjustments'!$A24)</f>
        <v>0</v>
      </c>
      <c r="H24" s="309">
        <f t="shared" si="0"/>
        <v>0</v>
      </c>
      <c r="I24" s="68">
        <f>IFERROR(F24*'As-Filed Schedule 1'!$E$103,0)</f>
        <v>0</v>
      </c>
      <c r="J24" s="310">
        <f>IFERROR(H24*'Adjusted Schedule 1'!$E$104,0)</f>
        <v>0</v>
      </c>
      <c r="K24" s="68">
        <f t="shared" si="1"/>
        <v>0</v>
      </c>
      <c r="L24" s="310">
        <f t="shared" si="2"/>
        <v>0</v>
      </c>
      <c r="N24" s="117">
        <f>'As-Filed Schedule 2M'!J24</f>
        <v>0</v>
      </c>
      <c r="O24" s="313">
        <f>SUMIFS(Adjustments!$G:$G,Adjustments!$H:$H,"2M",Adjustments!$I:$I,'Schedule 2M Adjustments'!$N$12,Adjustments!$J:$J,'Schedule 2M Adjustments'!$A24)</f>
        <v>0</v>
      </c>
      <c r="P24" s="309">
        <f t="shared" si="3"/>
        <v>0</v>
      </c>
      <c r="Q24" s="68">
        <f>IFERROR(N24*'As-Filed Schedule 1'!$E$103,0)</f>
        <v>0</v>
      </c>
      <c r="R24" s="68">
        <f>IFERROR(P24*'Adjusted Schedule 1'!$E$104,0)</f>
        <v>0</v>
      </c>
      <c r="S24" s="68">
        <f t="shared" si="4"/>
        <v>0</v>
      </c>
      <c r="T24" s="310">
        <f t="shared" si="5"/>
        <v>0</v>
      </c>
      <c r="V24" s="120">
        <f>'As-Filed Schedule 2M'!N24</f>
        <v>0</v>
      </c>
      <c r="W24" s="313">
        <f>SUMIFS(Adjustments!$G:$G,Adjustments!$H:$H,"2M",Adjustments!$I:$I,'Schedule 2M Adjustments'!$V$12,Adjustments!$J:$J,'Schedule 2M Adjustments'!$A24)</f>
        <v>0</v>
      </c>
      <c r="X24" s="309">
        <f t="shared" si="6"/>
        <v>0</v>
      </c>
      <c r="Y24" s="120">
        <f>'As-Filed Schedule 2M'!O24</f>
        <v>0</v>
      </c>
      <c r="Z24" s="313">
        <f>SUMIFS(Adjustments!$G:$G,Adjustments!$H:$H,"2M",Adjustments!$I:$I,'Schedule 2M Adjustments'!$Y$12,Adjustments!$J:$J,'Schedule 2M Adjustments'!$A24)</f>
        <v>0</v>
      </c>
      <c r="AA24" s="309">
        <f t="shared" si="7"/>
        <v>0</v>
      </c>
    </row>
    <row r="25" spans="1:27" x14ac:dyDescent="0.35">
      <c r="A25" s="24">
        <v>11</v>
      </c>
      <c r="B25" s="507" t="str">
        <f>IF('As-Filed Schedule 2M'!B25:D25=0,"",'As-Filed Schedule 2M'!B25:D25)</f>
        <v/>
      </c>
      <c r="C25" s="507"/>
      <c r="D25" s="507"/>
      <c r="F25" s="117">
        <f>'As-Filed Schedule 2M'!F25</f>
        <v>0</v>
      </c>
      <c r="G25" s="313">
        <f>SUMIFS(Adjustments!$G:$G,Adjustments!$H:$H,"2M",Adjustments!$I:$I,'Schedule 2M Adjustments'!$F$12,Adjustments!$J:$J,'Schedule 2M Adjustments'!$A25)</f>
        <v>0</v>
      </c>
      <c r="H25" s="309">
        <f t="shared" si="0"/>
        <v>0</v>
      </c>
      <c r="I25" s="68">
        <f>IFERROR(F25*'As-Filed Schedule 1'!$E$103,0)</f>
        <v>0</v>
      </c>
      <c r="J25" s="310">
        <f>IFERROR(H25*'Adjusted Schedule 1'!$E$104,0)</f>
        <v>0</v>
      </c>
      <c r="K25" s="68">
        <f t="shared" si="1"/>
        <v>0</v>
      </c>
      <c r="L25" s="310">
        <f t="shared" si="2"/>
        <v>0</v>
      </c>
      <c r="N25" s="117">
        <f>'As-Filed Schedule 2M'!J25</f>
        <v>0</v>
      </c>
      <c r="O25" s="313">
        <f>SUMIFS(Adjustments!$G:$G,Adjustments!$H:$H,"2M",Adjustments!$I:$I,'Schedule 2M Adjustments'!$N$12,Adjustments!$J:$J,'Schedule 2M Adjustments'!$A25)</f>
        <v>0</v>
      </c>
      <c r="P25" s="309">
        <f t="shared" si="3"/>
        <v>0</v>
      </c>
      <c r="Q25" s="68">
        <f>IFERROR(N25*'As-Filed Schedule 1'!$E$103,0)</f>
        <v>0</v>
      </c>
      <c r="R25" s="68">
        <f>IFERROR(P25*'Adjusted Schedule 1'!$E$104,0)</f>
        <v>0</v>
      </c>
      <c r="S25" s="68">
        <f t="shared" si="4"/>
        <v>0</v>
      </c>
      <c r="T25" s="310">
        <f t="shared" si="5"/>
        <v>0</v>
      </c>
      <c r="V25" s="120">
        <f>'As-Filed Schedule 2M'!N25</f>
        <v>0</v>
      </c>
      <c r="W25" s="313">
        <f>SUMIFS(Adjustments!$G:$G,Adjustments!$H:$H,"2M",Adjustments!$I:$I,'Schedule 2M Adjustments'!$V$12,Adjustments!$J:$J,'Schedule 2M Adjustments'!$A25)</f>
        <v>0</v>
      </c>
      <c r="X25" s="309">
        <f t="shared" si="6"/>
        <v>0</v>
      </c>
      <c r="Y25" s="120">
        <f>'As-Filed Schedule 2M'!O25</f>
        <v>0</v>
      </c>
      <c r="Z25" s="313">
        <f>SUMIFS(Adjustments!$G:$G,Adjustments!$H:$H,"2M",Adjustments!$I:$I,'Schedule 2M Adjustments'!$Y$12,Adjustments!$J:$J,'Schedule 2M Adjustments'!$A25)</f>
        <v>0</v>
      </c>
      <c r="AA25" s="309">
        <f t="shared" si="7"/>
        <v>0</v>
      </c>
    </row>
    <row r="26" spans="1:27" x14ac:dyDescent="0.35">
      <c r="A26" s="24">
        <v>12</v>
      </c>
      <c r="B26" s="507" t="str">
        <f>IF('As-Filed Schedule 2M'!B26:D26=0,"",'As-Filed Schedule 2M'!B26:D26)</f>
        <v/>
      </c>
      <c r="C26" s="507"/>
      <c r="D26" s="507"/>
      <c r="F26" s="117">
        <f>'As-Filed Schedule 2M'!F26</f>
        <v>0</v>
      </c>
      <c r="G26" s="313">
        <f>SUMIFS(Adjustments!$G:$G,Adjustments!$H:$H,"2M",Adjustments!$I:$I,'Schedule 2M Adjustments'!$F$12,Adjustments!$J:$J,'Schedule 2M Adjustments'!$A26)</f>
        <v>0</v>
      </c>
      <c r="H26" s="309">
        <f t="shared" si="0"/>
        <v>0</v>
      </c>
      <c r="I26" s="68">
        <f>IFERROR(F26*'As-Filed Schedule 1'!$E$103,0)</f>
        <v>0</v>
      </c>
      <c r="J26" s="310">
        <f>IFERROR(H26*'Adjusted Schedule 1'!$E$104,0)</f>
        <v>0</v>
      </c>
      <c r="K26" s="68">
        <f t="shared" si="1"/>
        <v>0</v>
      </c>
      <c r="L26" s="310">
        <f t="shared" si="2"/>
        <v>0</v>
      </c>
      <c r="N26" s="117">
        <f>'As-Filed Schedule 2M'!J26</f>
        <v>0</v>
      </c>
      <c r="O26" s="313">
        <f>SUMIFS(Adjustments!$G:$G,Adjustments!$H:$H,"2M",Adjustments!$I:$I,'Schedule 2M Adjustments'!$N$12,Adjustments!$J:$J,'Schedule 2M Adjustments'!$A26)</f>
        <v>0</v>
      </c>
      <c r="P26" s="309">
        <f t="shared" si="3"/>
        <v>0</v>
      </c>
      <c r="Q26" s="68">
        <f>IFERROR(N26*'As-Filed Schedule 1'!$E$103,0)</f>
        <v>0</v>
      </c>
      <c r="R26" s="68">
        <f>IFERROR(P26*'Adjusted Schedule 1'!$E$104,0)</f>
        <v>0</v>
      </c>
      <c r="S26" s="68">
        <f t="shared" si="4"/>
        <v>0</v>
      </c>
      <c r="T26" s="310">
        <f t="shared" si="5"/>
        <v>0</v>
      </c>
      <c r="V26" s="120">
        <f>'As-Filed Schedule 2M'!N26</f>
        <v>0</v>
      </c>
      <c r="W26" s="313">
        <f>SUMIFS(Adjustments!$G:$G,Adjustments!$H:$H,"2M",Adjustments!$I:$I,'Schedule 2M Adjustments'!$V$12,Adjustments!$J:$J,'Schedule 2M Adjustments'!$A26)</f>
        <v>0</v>
      </c>
      <c r="X26" s="309">
        <f t="shared" si="6"/>
        <v>0</v>
      </c>
      <c r="Y26" s="120">
        <f>'As-Filed Schedule 2M'!O26</f>
        <v>0</v>
      </c>
      <c r="Z26" s="313">
        <f>SUMIFS(Adjustments!$G:$G,Adjustments!$H:$H,"2M",Adjustments!$I:$I,'Schedule 2M Adjustments'!$Y$12,Adjustments!$J:$J,'Schedule 2M Adjustments'!$A26)</f>
        <v>0</v>
      </c>
      <c r="AA26" s="309">
        <f t="shared" si="7"/>
        <v>0</v>
      </c>
    </row>
    <row r="27" spans="1:27" x14ac:dyDescent="0.35">
      <c r="A27" s="24">
        <v>13</v>
      </c>
      <c r="B27" s="507" t="str">
        <f>IF('As-Filed Schedule 2M'!B27:D27=0,"",'As-Filed Schedule 2M'!B27:D27)</f>
        <v/>
      </c>
      <c r="C27" s="507"/>
      <c r="D27" s="507"/>
      <c r="F27" s="117">
        <f>'As-Filed Schedule 2M'!F27</f>
        <v>0</v>
      </c>
      <c r="G27" s="313">
        <f>SUMIFS(Adjustments!$G:$G,Adjustments!$H:$H,"2M",Adjustments!$I:$I,'Schedule 2M Adjustments'!$F$12,Adjustments!$J:$J,'Schedule 2M Adjustments'!$A27)</f>
        <v>0</v>
      </c>
      <c r="H27" s="309">
        <f t="shared" si="0"/>
        <v>0</v>
      </c>
      <c r="I27" s="68">
        <f>IFERROR(F27*'As-Filed Schedule 1'!$E$103,0)</f>
        <v>0</v>
      </c>
      <c r="J27" s="310">
        <f>IFERROR(H27*'Adjusted Schedule 1'!$E$104,0)</f>
        <v>0</v>
      </c>
      <c r="K27" s="68">
        <f t="shared" si="1"/>
        <v>0</v>
      </c>
      <c r="L27" s="310">
        <f t="shared" si="2"/>
        <v>0</v>
      </c>
      <c r="N27" s="117">
        <f>'As-Filed Schedule 2M'!J27</f>
        <v>0</v>
      </c>
      <c r="O27" s="313">
        <f>SUMIFS(Adjustments!$G:$G,Adjustments!$H:$H,"2M",Adjustments!$I:$I,'Schedule 2M Adjustments'!$N$12,Adjustments!$J:$J,'Schedule 2M Adjustments'!$A27)</f>
        <v>0</v>
      </c>
      <c r="P27" s="309">
        <f t="shared" si="3"/>
        <v>0</v>
      </c>
      <c r="Q27" s="68">
        <f>IFERROR(N27*'As-Filed Schedule 1'!$E$103,0)</f>
        <v>0</v>
      </c>
      <c r="R27" s="68">
        <f>IFERROR(P27*'Adjusted Schedule 1'!$E$104,0)</f>
        <v>0</v>
      </c>
      <c r="S27" s="68">
        <f t="shared" si="4"/>
        <v>0</v>
      </c>
      <c r="T27" s="310">
        <f t="shared" si="5"/>
        <v>0</v>
      </c>
      <c r="V27" s="120">
        <f>'As-Filed Schedule 2M'!N27</f>
        <v>0</v>
      </c>
      <c r="W27" s="313">
        <f>SUMIFS(Adjustments!$G:$G,Adjustments!$H:$H,"2M",Adjustments!$I:$I,'Schedule 2M Adjustments'!$V$12,Adjustments!$J:$J,'Schedule 2M Adjustments'!$A27)</f>
        <v>0</v>
      </c>
      <c r="X27" s="309">
        <f t="shared" si="6"/>
        <v>0</v>
      </c>
      <c r="Y27" s="120">
        <f>'As-Filed Schedule 2M'!O27</f>
        <v>0</v>
      </c>
      <c r="Z27" s="313">
        <f>SUMIFS(Adjustments!$G:$G,Adjustments!$H:$H,"2M",Adjustments!$I:$I,'Schedule 2M Adjustments'!$Y$12,Adjustments!$J:$J,'Schedule 2M Adjustments'!$A27)</f>
        <v>0</v>
      </c>
      <c r="AA27" s="309">
        <f t="shared" si="7"/>
        <v>0</v>
      </c>
    </row>
    <row r="28" spans="1:27" x14ac:dyDescent="0.35">
      <c r="A28" s="24">
        <v>14</v>
      </c>
      <c r="B28" s="507" t="str">
        <f>IF('As-Filed Schedule 2M'!B28:D28=0,"",'As-Filed Schedule 2M'!B28:D28)</f>
        <v/>
      </c>
      <c r="C28" s="507"/>
      <c r="D28" s="507"/>
      <c r="F28" s="117">
        <f>'As-Filed Schedule 2M'!F28</f>
        <v>0</v>
      </c>
      <c r="G28" s="313">
        <f>SUMIFS(Adjustments!$G:$G,Adjustments!$H:$H,"2M",Adjustments!$I:$I,'Schedule 2M Adjustments'!$F$12,Adjustments!$J:$J,'Schedule 2M Adjustments'!$A28)</f>
        <v>0</v>
      </c>
      <c r="H28" s="309">
        <f t="shared" si="0"/>
        <v>0</v>
      </c>
      <c r="I28" s="68">
        <f>IFERROR(F28*'As-Filed Schedule 1'!$E$103,0)</f>
        <v>0</v>
      </c>
      <c r="J28" s="310">
        <f>IFERROR(H28*'Adjusted Schedule 1'!$E$104,0)</f>
        <v>0</v>
      </c>
      <c r="K28" s="68">
        <f t="shared" si="1"/>
        <v>0</v>
      </c>
      <c r="L28" s="310">
        <f t="shared" si="2"/>
        <v>0</v>
      </c>
      <c r="N28" s="117">
        <f>'As-Filed Schedule 2M'!J28</f>
        <v>0</v>
      </c>
      <c r="O28" s="313">
        <f>SUMIFS(Adjustments!$G:$G,Adjustments!$H:$H,"2M",Adjustments!$I:$I,'Schedule 2M Adjustments'!$N$12,Adjustments!$J:$J,'Schedule 2M Adjustments'!$A28)</f>
        <v>0</v>
      </c>
      <c r="P28" s="309">
        <f t="shared" si="3"/>
        <v>0</v>
      </c>
      <c r="Q28" s="68">
        <f>IFERROR(N28*'As-Filed Schedule 1'!$E$103,0)</f>
        <v>0</v>
      </c>
      <c r="R28" s="68">
        <f>IFERROR(P28*'Adjusted Schedule 1'!$E$104,0)</f>
        <v>0</v>
      </c>
      <c r="S28" s="68">
        <f t="shared" si="4"/>
        <v>0</v>
      </c>
      <c r="T28" s="310">
        <f t="shared" si="5"/>
        <v>0</v>
      </c>
      <c r="V28" s="120">
        <f>'As-Filed Schedule 2M'!N28</f>
        <v>0</v>
      </c>
      <c r="W28" s="313">
        <f>SUMIFS(Adjustments!$G:$G,Adjustments!$H:$H,"2M",Adjustments!$I:$I,'Schedule 2M Adjustments'!$V$12,Adjustments!$J:$J,'Schedule 2M Adjustments'!$A28)</f>
        <v>0</v>
      </c>
      <c r="X28" s="309">
        <f t="shared" si="6"/>
        <v>0</v>
      </c>
      <c r="Y28" s="120">
        <f>'As-Filed Schedule 2M'!O28</f>
        <v>0</v>
      </c>
      <c r="Z28" s="313">
        <f>SUMIFS(Adjustments!$G:$G,Adjustments!$H:$H,"2M",Adjustments!$I:$I,'Schedule 2M Adjustments'!$Y$12,Adjustments!$J:$J,'Schedule 2M Adjustments'!$A28)</f>
        <v>0</v>
      </c>
      <c r="AA28" s="309">
        <f t="shared" si="7"/>
        <v>0</v>
      </c>
    </row>
    <row r="29" spans="1:27" x14ac:dyDescent="0.35">
      <c r="A29" s="24">
        <v>15</v>
      </c>
      <c r="B29" s="507" t="str">
        <f>IF('As-Filed Schedule 2M'!B29:D29=0,"",'As-Filed Schedule 2M'!B29:D29)</f>
        <v/>
      </c>
      <c r="C29" s="507"/>
      <c r="D29" s="507"/>
      <c r="F29" s="117">
        <f>'As-Filed Schedule 2M'!F29</f>
        <v>0</v>
      </c>
      <c r="G29" s="313">
        <f>SUMIFS(Adjustments!$G:$G,Adjustments!$H:$H,"2M",Adjustments!$I:$I,'Schedule 2M Adjustments'!$F$12,Adjustments!$J:$J,'Schedule 2M Adjustments'!$A29)</f>
        <v>0</v>
      </c>
      <c r="H29" s="309">
        <f t="shared" si="0"/>
        <v>0</v>
      </c>
      <c r="I29" s="68">
        <f>IFERROR(F29*'As-Filed Schedule 1'!$E$103,0)</f>
        <v>0</v>
      </c>
      <c r="J29" s="310">
        <f>IFERROR(H29*'Adjusted Schedule 1'!$E$104,0)</f>
        <v>0</v>
      </c>
      <c r="K29" s="68">
        <f t="shared" si="1"/>
        <v>0</v>
      </c>
      <c r="L29" s="310">
        <f t="shared" si="2"/>
        <v>0</v>
      </c>
      <c r="N29" s="117">
        <f>'As-Filed Schedule 2M'!J29</f>
        <v>0</v>
      </c>
      <c r="O29" s="313">
        <f>SUMIFS(Adjustments!$G:$G,Adjustments!$H:$H,"2M",Adjustments!$I:$I,'Schedule 2M Adjustments'!$N$12,Adjustments!$J:$J,'Schedule 2M Adjustments'!$A29)</f>
        <v>0</v>
      </c>
      <c r="P29" s="309">
        <f t="shared" si="3"/>
        <v>0</v>
      </c>
      <c r="Q29" s="68">
        <f>IFERROR(N29*'As-Filed Schedule 1'!$E$103,0)</f>
        <v>0</v>
      </c>
      <c r="R29" s="68">
        <f>IFERROR(P29*'Adjusted Schedule 1'!$E$104,0)</f>
        <v>0</v>
      </c>
      <c r="S29" s="68">
        <f t="shared" si="4"/>
        <v>0</v>
      </c>
      <c r="T29" s="310">
        <f t="shared" si="5"/>
        <v>0</v>
      </c>
      <c r="V29" s="120">
        <f>'As-Filed Schedule 2M'!N29</f>
        <v>0</v>
      </c>
      <c r="W29" s="313">
        <f>SUMIFS(Adjustments!$G:$G,Adjustments!$H:$H,"2M",Adjustments!$I:$I,'Schedule 2M Adjustments'!$V$12,Adjustments!$J:$J,'Schedule 2M Adjustments'!$A29)</f>
        <v>0</v>
      </c>
      <c r="X29" s="309">
        <f t="shared" si="6"/>
        <v>0</v>
      </c>
      <c r="Y29" s="120">
        <f>'As-Filed Schedule 2M'!O29</f>
        <v>0</v>
      </c>
      <c r="Z29" s="313">
        <f>SUMIFS(Adjustments!$G:$G,Adjustments!$H:$H,"2M",Adjustments!$I:$I,'Schedule 2M Adjustments'!$Y$12,Adjustments!$J:$J,'Schedule 2M Adjustments'!$A29)</f>
        <v>0</v>
      </c>
      <c r="AA29" s="309">
        <f t="shared" si="7"/>
        <v>0</v>
      </c>
    </row>
    <row r="30" spans="1:27" x14ac:dyDescent="0.35">
      <c r="A30" s="24">
        <v>16</v>
      </c>
      <c r="B30" s="507" t="str">
        <f>IF('As-Filed Schedule 2M'!B30:D30=0,"",'As-Filed Schedule 2M'!B30:D30)</f>
        <v/>
      </c>
      <c r="C30" s="507"/>
      <c r="D30" s="507"/>
      <c r="F30" s="117">
        <f>'As-Filed Schedule 2M'!F30</f>
        <v>0</v>
      </c>
      <c r="G30" s="313">
        <f>SUMIFS(Adjustments!$G:$G,Adjustments!$H:$H,"2M",Adjustments!$I:$I,'Schedule 2M Adjustments'!$F$12,Adjustments!$J:$J,'Schedule 2M Adjustments'!$A30)</f>
        <v>0</v>
      </c>
      <c r="H30" s="309">
        <f t="shared" si="0"/>
        <v>0</v>
      </c>
      <c r="I30" s="68">
        <f>IFERROR(F30*'As-Filed Schedule 1'!$E$103,0)</f>
        <v>0</v>
      </c>
      <c r="J30" s="310">
        <f>IFERROR(H30*'Adjusted Schedule 1'!$E$104,0)</f>
        <v>0</v>
      </c>
      <c r="K30" s="68">
        <f t="shared" si="1"/>
        <v>0</v>
      </c>
      <c r="L30" s="310">
        <f t="shared" si="2"/>
        <v>0</v>
      </c>
      <c r="N30" s="117">
        <f>'As-Filed Schedule 2M'!J30</f>
        <v>0</v>
      </c>
      <c r="O30" s="313">
        <f>SUMIFS(Adjustments!$G:$G,Adjustments!$H:$H,"2M",Adjustments!$I:$I,'Schedule 2M Adjustments'!$N$12,Adjustments!$J:$J,'Schedule 2M Adjustments'!$A30)</f>
        <v>0</v>
      </c>
      <c r="P30" s="309">
        <f t="shared" si="3"/>
        <v>0</v>
      </c>
      <c r="Q30" s="68">
        <f>IFERROR(N30*'As-Filed Schedule 1'!$E$103,0)</f>
        <v>0</v>
      </c>
      <c r="R30" s="68">
        <f>IFERROR(P30*'Adjusted Schedule 1'!$E$104,0)</f>
        <v>0</v>
      </c>
      <c r="S30" s="68">
        <f t="shared" si="4"/>
        <v>0</v>
      </c>
      <c r="T30" s="310">
        <f t="shared" si="5"/>
        <v>0</v>
      </c>
      <c r="V30" s="120">
        <f>'As-Filed Schedule 2M'!N30</f>
        <v>0</v>
      </c>
      <c r="W30" s="313">
        <f>SUMIFS(Adjustments!$G:$G,Adjustments!$H:$H,"2M",Adjustments!$I:$I,'Schedule 2M Adjustments'!$V$12,Adjustments!$J:$J,'Schedule 2M Adjustments'!$A30)</f>
        <v>0</v>
      </c>
      <c r="X30" s="309">
        <f t="shared" si="6"/>
        <v>0</v>
      </c>
      <c r="Y30" s="120">
        <f>'As-Filed Schedule 2M'!O30</f>
        <v>0</v>
      </c>
      <c r="Z30" s="313">
        <f>SUMIFS(Adjustments!$G:$G,Adjustments!$H:$H,"2M",Adjustments!$I:$I,'Schedule 2M Adjustments'!$Y$12,Adjustments!$J:$J,'Schedule 2M Adjustments'!$A30)</f>
        <v>0</v>
      </c>
      <c r="AA30" s="309">
        <f t="shared" si="7"/>
        <v>0</v>
      </c>
    </row>
    <row r="31" spans="1:27" x14ac:dyDescent="0.35">
      <c r="A31" s="24">
        <v>17</v>
      </c>
      <c r="B31" s="507" t="str">
        <f>IF('As-Filed Schedule 2M'!B31:D31=0,"",'As-Filed Schedule 2M'!B31:D31)</f>
        <v/>
      </c>
      <c r="C31" s="507"/>
      <c r="D31" s="507"/>
      <c r="F31" s="117">
        <f>'As-Filed Schedule 2M'!F31</f>
        <v>0</v>
      </c>
      <c r="G31" s="313">
        <f>SUMIFS(Adjustments!$G:$G,Adjustments!$H:$H,"2M",Adjustments!$I:$I,'Schedule 2M Adjustments'!$F$12,Adjustments!$J:$J,'Schedule 2M Adjustments'!$A31)</f>
        <v>0</v>
      </c>
      <c r="H31" s="309">
        <f t="shared" si="0"/>
        <v>0</v>
      </c>
      <c r="I31" s="68">
        <f>IFERROR(F31*'As-Filed Schedule 1'!$E$103,0)</f>
        <v>0</v>
      </c>
      <c r="J31" s="310">
        <f>IFERROR(H31*'Adjusted Schedule 1'!$E$104,0)</f>
        <v>0</v>
      </c>
      <c r="K31" s="68">
        <f t="shared" si="1"/>
        <v>0</v>
      </c>
      <c r="L31" s="310">
        <f t="shared" si="2"/>
        <v>0</v>
      </c>
      <c r="N31" s="117">
        <f>'As-Filed Schedule 2M'!J31</f>
        <v>0</v>
      </c>
      <c r="O31" s="313">
        <f>SUMIFS(Adjustments!$G:$G,Adjustments!$H:$H,"2M",Adjustments!$I:$I,'Schedule 2M Adjustments'!$N$12,Adjustments!$J:$J,'Schedule 2M Adjustments'!$A31)</f>
        <v>0</v>
      </c>
      <c r="P31" s="309">
        <f t="shared" si="3"/>
        <v>0</v>
      </c>
      <c r="Q31" s="68">
        <f>IFERROR(N31*'As-Filed Schedule 1'!$E$103,0)</f>
        <v>0</v>
      </c>
      <c r="R31" s="68">
        <f>IFERROR(P31*'Adjusted Schedule 1'!$E$104,0)</f>
        <v>0</v>
      </c>
      <c r="S31" s="68">
        <f t="shared" si="4"/>
        <v>0</v>
      </c>
      <c r="T31" s="310">
        <f t="shared" si="5"/>
        <v>0</v>
      </c>
      <c r="V31" s="120">
        <f>'As-Filed Schedule 2M'!N31</f>
        <v>0</v>
      </c>
      <c r="W31" s="313">
        <f>SUMIFS(Adjustments!$G:$G,Adjustments!$H:$H,"2M",Adjustments!$I:$I,'Schedule 2M Adjustments'!$V$12,Adjustments!$J:$J,'Schedule 2M Adjustments'!$A31)</f>
        <v>0</v>
      </c>
      <c r="X31" s="309">
        <f t="shared" si="6"/>
        <v>0</v>
      </c>
      <c r="Y31" s="120">
        <f>'As-Filed Schedule 2M'!O31</f>
        <v>0</v>
      </c>
      <c r="Z31" s="313">
        <f>SUMIFS(Adjustments!$G:$G,Adjustments!$H:$H,"2M",Adjustments!$I:$I,'Schedule 2M Adjustments'!$Y$12,Adjustments!$J:$J,'Schedule 2M Adjustments'!$A31)</f>
        <v>0</v>
      </c>
      <c r="AA31" s="309">
        <f t="shared" si="7"/>
        <v>0</v>
      </c>
    </row>
    <row r="32" spans="1:27" x14ac:dyDescent="0.35">
      <c r="A32" s="24">
        <v>18</v>
      </c>
      <c r="B32" s="507" t="str">
        <f>IF('As-Filed Schedule 2M'!B32:D32=0,"",'As-Filed Schedule 2M'!B32:D32)</f>
        <v/>
      </c>
      <c r="C32" s="507"/>
      <c r="D32" s="507"/>
      <c r="F32" s="117">
        <f>'As-Filed Schedule 2M'!F32</f>
        <v>0</v>
      </c>
      <c r="G32" s="313">
        <f>SUMIFS(Adjustments!$G:$G,Adjustments!$H:$H,"2M",Adjustments!$I:$I,'Schedule 2M Adjustments'!$F$12,Adjustments!$J:$J,'Schedule 2M Adjustments'!$A32)</f>
        <v>0</v>
      </c>
      <c r="H32" s="309">
        <f t="shared" si="0"/>
        <v>0</v>
      </c>
      <c r="I32" s="68">
        <f>IFERROR(F32*'As-Filed Schedule 1'!$E$103,0)</f>
        <v>0</v>
      </c>
      <c r="J32" s="310">
        <f>IFERROR(H32*'Adjusted Schedule 1'!$E$104,0)</f>
        <v>0</v>
      </c>
      <c r="K32" s="68">
        <f t="shared" si="1"/>
        <v>0</v>
      </c>
      <c r="L32" s="310">
        <f t="shared" si="2"/>
        <v>0</v>
      </c>
      <c r="N32" s="117">
        <f>'As-Filed Schedule 2M'!J32</f>
        <v>0</v>
      </c>
      <c r="O32" s="313">
        <f>SUMIFS(Adjustments!$G:$G,Adjustments!$H:$H,"2M",Adjustments!$I:$I,'Schedule 2M Adjustments'!$N$12,Adjustments!$J:$J,'Schedule 2M Adjustments'!$A32)</f>
        <v>0</v>
      </c>
      <c r="P32" s="309">
        <f t="shared" si="3"/>
        <v>0</v>
      </c>
      <c r="Q32" s="68">
        <f>IFERROR(N32*'As-Filed Schedule 1'!$E$103,0)</f>
        <v>0</v>
      </c>
      <c r="R32" s="68">
        <f>IFERROR(P32*'Adjusted Schedule 1'!$E$104,0)</f>
        <v>0</v>
      </c>
      <c r="S32" s="68">
        <f t="shared" si="4"/>
        <v>0</v>
      </c>
      <c r="T32" s="310">
        <f t="shared" si="5"/>
        <v>0</v>
      </c>
      <c r="V32" s="120">
        <f>'As-Filed Schedule 2M'!N32</f>
        <v>0</v>
      </c>
      <c r="W32" s="313">
        <f>SUMIFS(Adjustments!$G:$G,Adjustments!$H:$H,"2M",Adjustments!$I:$I,'Schedule 2M Adjustments'!$V$12,Adjustments!$J:$J,'Schedule 2M Adjustments'!$A32)</f>
        <v>0</v>
      </c>
      <c r="X32" s="309">
        <f t="shared" si="6"/>
        <v>0</v>
      </c>
      <c r="Y32" s="120">
        <f>'As-Filed Schedule 2M'!O32</f>
        <v>0</v>
      </c>
      <c r="Z32" s="313">
        <f>SUMIFS(Adjustments!$G:$G,Adjustments!$H:$H,"2M",Adjustments!$I:$I,'Schedule 2M Adjustments'!$Y$12,Adjustments!$J:$J,'Schedule 2M Adjustments'!$A32)</f>
        <v>0</v>
      </c>
      <c r="AA32" s="309">
        <f t="shared" si="7"/>
        <v>0</v>
      </c>
    </row>
    <row r="33" spans="1:27" x14ac:dyDescent="0.35">
      <c r="A33" s="24">
        <v>19</v>
      </c>
      <c r="B33" s="507" t="str">
        <f>IF('As-Filed Schedule 2M'!B33:D33=0,"",'As-Filed Schedule 2M'!B33:D33)</f>
        <v/>
      </c>
      <c r="C33" s="507"/>
      <c r="D33" s="507"/>
      <c r="F33" s="117">
        <f>'As-Filed Schedule 2M'!F33</f>
        <v>0</v>
      </c>
      <c r="G33" s="313">
        <f>SUMIFS(Adjustments!$G:$G,Adjustments!$H:$H,"2M",Adjustments!$I:$I,'Schedule 2M Adjustments'!$F$12,Adjustments!$J:$J,'Schedule 2M Adjustments'!$A33)</f>
        <v>0</v>
      </c>
      <c r="H33" s="309">
        <f t="shared" si="0"/>
        <v>0</v>
      </c>
      <c r="I33" s="68">
        <f>IFERROR(F33*'As-Filed Schedule 1'!$E$103,0)</f>
        <v>0</v>
      </c>
      <c r="J33" s="310">
        <f>IFERROR(H33*'Adjusted Schedule 1'!$E$104,0)</f>
        <v>0</v>
      </c>
      <c r="K33" s="68">
        <f t="shared" si="1"/>
        <v>0</v>
      </c>
      <c r="L33" s="310">
        <f t="shared" si="2"/>
        <v>0</v>
      </c>
      <c r="N33" s="117">
        <f>'As-Filed Schedule 2M'!J33</f>
        <v>0</v>
      </c>
      <c r="O33" s="313">
        <f>SUMIFS(Adjustments!$G:$G,Adjustments!$H:$H,"2M",Adjustments!$I:$I,'Schedule 2M Adjustments'!$N$12,Adjustments!$J:$J,'Schedule 2M Adjustments'!$A33)</f>
        <v>0</v>
      </c>
      <c r="P33" s="309">
        <f t="shared" si="3"/>
        <v>0</v>
      </c>
      <c r="Q33" s="68">
        <f>IFERROR(N33*'As-Filed Schedule 1'!$E$103,0)</f>
        <v>0</v>
      </c>
      <c r="R33" s="68">
        <f>IFERROR(P33*'Adjusted Schedule 1'!$E$104,0)</f>
        <v>0</v>
      </c>
      <c r="S33" s="68">
        <f t="shared" si="4"/>
        <v>0</v>
      </c>
      <c r="T33" s="310">
        <f t="shared" si="5"/>
        <v>0</v>
      </c>
      <c r="V33" s="120">
        <f>'As-Filed Schedule 2M'!N33</f>
        <v>0</v>
      </c>
      <c r="W33" s="313">
        <f>SUMIFS(Adjustments!$G:$G,Adjustments!$H:$H,"2M",Adjustments!$I:$I,'Schedule 2M Adjustments'!$V$12,Adjustments!$J:$J,'Schedule 2M Adjustments'!$A33)</f>
        <v>0</v>
      </c>
      <c r="X33" s="309">
        <f t="shared" si="6"/>
        <v>0</v>
      </c>
      <c r="Y33" s="120">
        <f>'As-Filed Schedule 2M'!O33</f>
        <v>0</v>
      </c>
      <c r="Z33" s="313">
        <f>SUMIFS(Adjustments!$G:$G,Adjustments!$H:$H,"2M",Adjustments!$I:$I,'Schedule 2M Adjustments'!$Y$12,Adjustments!$J:$J,'Schedule 2M Adjustments'!$A33)</f>
        <v>0</v>
      </c>
      <c r="AA33" s="309">
        <f t="shared" si="7"/>
        <v>0</v>
      </c>
    </row>
    <row r="34" spans="1:27" x14ac:dyDescent="0.35">
      <c r="A34" s="24">
        <v>20</v>
      </c>
      <c r="B34" s="507" t="str">
        <f>IF('As-Filed Schedule 2M'!B34:D34=0,"",'As-Filed Schedule 2M'!B34:D34)</f>
        <v/>
      </c>
      <c r="C34" s="507"/>
      <c r="D34" s="507"/>
      <c r="F34" s="117">
        <f>'As-Filed Schedule 2M'!F34</f>
        <v>0</v>
      </c>
      <c r="G34" s="313">
        <f>SUMIFS(Adjustments!$G:$G,Adjustments!$H:$H,"2M",Adjustments!$I:$I,'Schedule 2M Adjustments'!$F$12,Adjustments!$J:$J,'Schedule 2M Adjustments'!$A34)</f>
        <v>0</v>
      </c>
      <c r="H34" s="309">
        <f t="shared" si="0"/>
        <v>0</v>
      </c>
      <c r="I34" s="68">
        <f>IFERROR(F34*'As-Filed Schedule 1'!$E$103,0)</f>
        <v>0</v>
      </c>
      <c r="J34" s="310">
        <f>IFERROR(H34*'Adjusted Schedule 1'!$E$104,0)</f>
        <v>0</v>
      </c>
      <c r="K34" s="68">
        <f t="shared" si="1"/>
        <v>0</v>
      </c>
      <c r="L34" s="310">
        <f t="shared" si="2"/>
        <v>0</v>
      </c>
      <c r="N34" s="117">
        <f>'As-Filed Schedule 2M'!J34</f>
        <v>0</v>
      </c>
      <c r="O34" s="313">
        <f>SUMIFS(Adjustments!$G:$G,Adjustments!$H:$H,"2M",Adjustments!$I:$I,'Schedule 2M Adjustments'!$N$12,Adjustments!$J:$J,'Schedule 2M Adjustments'!$A34)</f>
        <v>0</v>
      </c>
      <c r="P34" s="309">
        <f t="shared" si="3"/>
        <v>0</v>
      </c>
      <c r="Q34" s="68">
        <f>IFERROR(N34*'As-Filed Schedule 1'!$E$103,0)</f>
        <v>0</v>
      </c>
      <c r="R34" s="68">
        <f>IFERROR(P34*'Adjusted Schedule 1'!$E$104,0)</f>
        <v>0</v>
      </c>
      <c r="S34" s="68">
        <f t="shared" si="4"/>
        <v>0</v>
      </c>
      <c r="T34" s="310">
        <f t="shared" si="5"/>
        <v>0</v>
      </c>
      <c r="V34" s="120">
        <f>'As-Filed Schedule 2M'!N34</f>
        <v>0</v>
      </c>
      <c r="W34" s="313">
        <f>SUMIFS(Adjustments!$G:$G,Adjustments!$H:$H,"2M",Adjustments!$I:$I,'Schedule 2M Adjustments'!$V$12,Adjustments!$J:$J,'Schedule 2M Adjustments'!$A34)</f>
        <v>0</v>
      </c>
      <c r="X34" s="309">
        <f t="shared" si="6"/>
        <v>0</v>
      </c>
      <c r="Y34" s="120">
        <f>'As-Filed Schedule 2M'!O34</f>
        <v>0</v>
      </c>
      <c r="Z34" s="313">
        <f>SUMIFS(Adjustments!$G:$G,Adjustments!$H:$H,"2M",Adjustments!$I:$I,'Schedule 2M Adjustments'!$Y$12,Adjustments!$J:$J,'Schedule 2M Adjustments'!$A34)</f>
        <v>0</v>
      </c>
      <c r="AA34" s="309">
        <f t="shared" si="7"/>
        <v>0</v>
      </c>
    </row>
    <row r="35" spans="1:27" x14ac:dyDescent="0.35">
      <c r="A35" s="24">
        <v>21</v>
      </c>
      <c r="B35" s="507" t="str">
        <f>IF('As-Filed Schedule 2M'!B35:D35=0,"",'As-Filed Schedule 2M'!B35:D35)</f>
        <v/>
      </c>
      <c r="C35" s="507"/>
      <c r="D35" s="507"/>
      <c r="F35" s="117">
        <f>'As-Filed Schedule 2M'!F35</f>
        <v>0</v>
      </c>
      <c r="G35" s="313">
        <f>SUMIFS(Adjustments!$G:$G,Adjustments!$H:$H,"2M",Adjustments!$I:$I,'Schedule 2M Adjustments'!$F$12,Adjustments!$J:$J,'Schedule 2M Adjustments'!$A35)</f>
        <v>0</v>
      </c>
      <c r="H35" s="309">
        <f t="shared" si="0"/>
        <v>0</v>
      </c>
      <c r="I35" s="68">
        <f>IFERROR(F35*'As-Filed Schedule 1'!$E$103,0)</f>
        <v>0</v>
      </c>
      <c r="J35" s="310">
        <f>IFERROR(H35*'Adjusted Schedule 1'!$E$104,0)</f>
        <v>0</v>
      </c>
      <c r="K35" s="68">
        <f t="shared" si="1"/>
        <v>0</v>
      </c>
      <c r="L35" s="310">
        <f t="shared" si="2"/>
        <v>0</v>
      </c>
      <c r="N35" s="117">
        <f>'As-Filed Schedule 2M'!J35</f>
        <v>0</v>
      </c>
      <c r="O35" s="313">
        <f>SUMIFS(Adjustments!$G:$G,Adjustments!$H:$H,"2M",Adjustments!$I:$I,'Schedule 2M Adjustments'!$N$12,Adjustments!$J:$J,'Schedule 2M Adjustments'!$A35)</f>
        <v>0</v>
      </c>
      <c r="P35" s="309">
        <f t="shared" si="3"/>
        <v>0</v>
      </c>
      <c r="Q35" s="68">
        <f>IFERROR(N35*'As-Filed Schedule 1'!$E$103,0)</f>
        <v>0</v>
      </c>
      <c r="R35" s="68">
        <f>IFERROR(P35*'Adjusted Schedule 1'!$E$104,0)</f>
        <v>0</v>
      </c>
      <c r="S35" s="68">
        <f t="shared" si="4"/>
        <v>0</v>
      </c>
      <c r="T35" s="310">
        <f t="shared" si="5"/>
        <v>0</v>
      </c>
      <c r="V35" s="120">
        <f>'As-Filed Schedule 2M'!N35</f>
        <v>0</v>
      </c>
      <c r="W35" s="313">
        <f>SUMIFS(Adjustments!$G:$G,Adjustments!$H:$H,"2M",Adjustments!$I:$I,'Schedule 2M Adjustments'!$V$12,Adjustments!$J:$J,'Schedule 2M Adjustments'!$A35)</f>
        <v>0</v>
      </c>
      <c r="X35" s="309">
        <f t="shared" si="6"/>
        <v>0</v>
      </c>
      <c r="Y35" s="120">
        <f>'As-Filed Schedule 2M'!O35</f>
        <v>0</v>
      </c>
      <c r="Z35" s="313">
        <f>SUMIFS(Adjustments!$G:$G,Adjustments!$H:$H,"2M",Adjustments!$I:$I,'Schedule 2M Adjustments'!$Y$12,Adjustments!$J:$J,'Schedule 2M Adjustments'!$A35)</f>
        <v>0</v>
      </c>
      <c r="AA35" s="309">
        <f t="shared" si="7"/>
        <v>0</v>
      </c>
    </row>
    <row r="36" spans="1:27" x14ac:dyDescent="0.35">
      <c r="A36" s="24">
        <v>22</v>
      </c>
      <c r="B36" s="507" t="str">
        <f>IF('As-Filed Schedule 2M'!B36:D36=0,"",'As-Filed Schedule 2M'!B36:D36)</f>
        <v/>
      </c>
      <c r="C36" s="507"/>
      <c r="D36" s="507"/>
      <c r="F36" s="117">
        <f>'As-Filed Schedule 2M'!F36</f>
        <v>0</v>
      </c>
      <c r="G36" s="313">
        <f>SUMIFS(Adjustments!$G:$G,Adjustments!$H:$H,"2M",Adjustments!$I:$I,'Schedule 2M Adjustments'!$F$12,Adjustments!$J:$J,'Schedule 2M Adjustments'!$A36)</f>
        <v>0</v>
      </c>
      <c r="H36" s="309">
        <f t="shared" si="0"/>
        <v>0</v>
      </c>
      <c r="I36" s="68">
        <f>IFERROR(F36*'As-Filed Schedule 1'!$E$103,0)</f>
        <v>0</v>
      </c>
      <c r="J36" s="310">
        <f>IFERROR(H36*'Adjusted Schedule 1'!$E$104,0)</f>
        <v>0</v>
      </c>
      <c r="K36" s="68">
        <f t="shared" si="1"/>
        <v>0</v>
      </c>
      <c r="L36" s="310">
        <f t="shared" si="2"/>
        <v>0</v>
      </c>
      <c r="N36" s="117">
        <f>'As-Filed Schedule 2M'!J36</f>
        <v>0</v>
      </c>
      <c r="O36" s="313">
        <f>SUMIFS(Adjustments!$G:$G,Adjustments!$H:$H,"2M",Adjustments!$I:$I,'Schedule 2M Adjustments'!$N$12,Adjustments!$J:$J,'Schedule 2M Adjustments'!$A36)</f>
        <v>0</v>
      </c>
      <c r="P36" s="309">
        <f t="shared" si="3"/>
        <v>0</v>
      </c>
      <c r="Q36" s="68">
        <f>IFERROR(N36*'As-Filed Schedule 1'!$E$103,0)</f>
        <v>0</v>
      </c>
      <c r="R36" s="68">
        <f>IFERROR(P36*'Adjusted Schedule 1'!$E$104,0)</f>
        <v>0</v>
      </c>
      <c r="S36" s="68">
        <f t="shared" si="4"/>
        <v>0</v>
      </c>
      <c r="T36" s="310">
        <f t="shared" si="5"/>
        <v>0</v>
      </c>
      <c r="V36" s="120">
        <f>'As-Filed Schedule 2M'!N36</f>
        <v>0</v>
      </c>
      <c r="W36" s="313">
        <f>SUMIFS(Adjustments!$G:$G,Adjustments!$H:$H,"2M",Adjustments!$I:$I,'Schedule 2M Adjustments'!$V$12,Adjustments!$J:$J,'Schedule 2M Adjustments'!$A36)</f>
        <v>0</v>
      </c>
      <c r="X36" s="309">
        <f t="shared" si="6"/>
        <v>0</v>
      </c>
      <c r="Y36" s="120">
        <f>'As-Filed Schedule 2M'!O36</f>
        <v>0</v>
      </c>
      <c r="Z36" s="313">
        <f>SUMIFS(Adjustments!$G:$G,Adjustments!$H:$H,"2M",Adjustments!$I:$I,'Schedule 2M Adjustments'!$Y$12,Adjustments!$J:$J,'Schedule 2M Adjustments'!$A36)</f>
        <v>0</v>
      </c>
      <c r="AA36" s="309">
        <f t="shared" si="7"/>
        <v>0</v>
      </c>
    </row>
    <row r="37" spans="1:27" x14ac:dyDescent="0.35">
      <c r="A37" s="24">
        <v>23</v>
      </c>
      <c r="B37" s="507" t="str">
        <f>IF('As-Filed Schedule 2M'!B37:D37=0,"",'As-Filed Schedule 2M'!B37:D37)</f>
        <v/>
      </c>
      <c r="C37" s="507"/>
      <c r="D37" s="507"/>
      <c r="F37" s="117">
        <f>'As-Filed Schedule 2M'!F37</f>
        <v>0</v>
      </c>
      <c r="G37" s="313">
        <f>SUMIFS(Adjustments!$G:$G,Adjustments!$H:$H,"2M",Adjustments!$I:$I,'Schedule 2M Adjustments'!$F$12,Adjustments!$J:$J,'Schedule 2M Adjustments'!$A37)</f>
        <v>0</v>
      </c>
      <c r="H37" s="309">
        <f t="shared" si="0"/>
        <v>0</v>
      </c>
      <c r="I37" s="68">
        <f>IFERROR(F37*'As-Filed Schedule 1'!$E$103,0)</f>
        <v>0</v>
      </c>
      <c r="J37" s="310">
        <f>IFERROR(H37*'Adjusted Schedule 1'!$E$104,0)</f>
        <v>0</v>
      </c>
      <c r="K37" s="68">
        <f t="shared" si="1"/>
        <v>0</v>
      </c>
      <c r="L37" s="310">
        <f t="shared" si="2"/>
        <v>0</v>
      </c>
      <c r="N37" s="117">
        <f>'As-Filed Schedule 2M'!J37</f>
        <v>0</v>
      </c>
      <c r="O37" s="313">
        <f>SUMIFS(Adjustments!$G:$G,Adjustments!$H:$H,"2M",Adjustments!$I:$I,'Schedule 2M Adjustments'!$N$12,Adjustments!$J:$J,'Schedule 2M Adjustments'!$A37)</f>
        <v>0</v>
      </c>
      <c r="P37" s="309">
        <f t="shared" si="3"/>
        <v>0</v>
      </c>
      <c r="Q37" s="68">
        <f>IFERROR(N37*'As-Filed Schedule 1'!$E$103,0)</f>
        <v>0</v>
      </c>
      <c r="R37" s="68">
        <f>IFERROR(P37*'Adjusted Schedule 1'!$E$104,0)</f>
        <v>0</v>
      </c>
      <c r="S37" s="68">
        <f t="shared" si="4"/>
        <v>0</v>
      </c>
      <c r="T37" s="310">
        <f t="shared" si="5"/>
        <v>0</v>
      </c>
      <c r="V37" s="120">
        <f>'As-Filed Schedule 2M'!N37</f>
        <v>0</v>
      </c>
      <c r="W37" s="313">
        <f>SUMIFS(Adjustments!$G:$G,Adjustments!$H:$H,"2M",Adjustments!$I:$I,'Schedule 2M Adjustments'!$V$12,Adjustments!$J:$J,'Schedule 2M Adjustments'!$A37)</f>
        <v>0</v>
      </c>
      <c r="X37" s="309">
        <f t="shared" si="6"/>
        <v>0</v>
      </c>
      <c r="Y37" s="120">
        <f>'As-Filed Schedule 2M'!O37</f>
        <v>0</v>
      </c>
      <c r="Z37" s="313">
        <f>SUMIFS(Adjustments!$G:$G,Adjustments!$H:$H,"2M",Adjustments!$I:$I,'Schedule 2M Adjustments'!$Y$12,Adjustments!$J:$J,'Schedule 2M Adjustments'!$A37)</f>
        <v>0</v>
      </c>
      <c r="AA37" s="309">
        <f t="shared" si="7"/>
        <v>0</v>
      </c>
    </row>
    <row r="38" spans="1:27" x14ac:dyDescent="0.35">
      <c r="A38" s="24">
        <v>24</v>
      </c>
      <c r="B38" s="507" t="str">
        <f>IF('As-Filed Schedule 2M'!B38:D38=0,"",'As-Filed Schedule 2M'!B38:D38)</f>
        <v/>
      </c>
      <c r="C38" s="507"/>
      <c r="D38" s="507"/>
      <c r="F38" s="117">
        <f>'As-Filed Schedule 2M'!F38</f>
        <v>0</v>
      </c>
      <c r="G38" s="313">
        <f>SUMIFS(Adjustments!$G:$G,Adjustments!$H:$H,"2M",Adjustments!$I:$I,'Schedule 2M Adjustments'!$F$12,Adjustments!$J:$J,'Schedule 2M Adjustments'!$A38)</f>
        <v>0</v>
      </c>
      <c r="H38" s="309">
        <f t="shared" si="0"/>
        <v>0</v>
      </c>
      <c r="I38" s="68">
        <f>IFERROR(F38*'As-Filed Schedule 1'!$E$103,0)</f>
        <v>0</v>
      </c>
      <c r="J38" s="310">
        <f>IFERROR(H38*'Adjusted Schedule 1'!$E$104,0)</f>
        <v>0</v>
      </c>
      <c r="K38" s="68">
        <f t="shared" si="1"/>
        <v>0</v>
      </c>
      <c r="L38" s="310">
        <f t="shared" si="2"/>
        <v>0</v>
      </c>
      <c r="N38" s="117">
        <f>'As-Filed Schedule 2M'!J38</f>
        <v>0</v>
      </c>
      <c r="O38" s="313">
        <f>SUMIFS(Adjustments!$G:$G,Adjustments!$H:$H,"2M",Adjustments!$I:$I,'Schedule 2M Adjustments'!$N$12,Adjustments!$J:$J,'Schedule 2M Adjustments'!$A38)</f>
        <v>0</v>
      </c>
      <c r="P38" s="309">
        <f t="shared" si="3"/>
        <v>0</v>
      </c>
      <c r="Q38" s="68">
        <f>IFERROR(N38*'As-Filed Schedule 1'!$E$103,0)</f>
        <v>0</v>
      </c>
      <c r="R38" s="68">
        <f>IFERROR(P38*'Adjusted Schedule 1'!$E$104,0)</f>
        <v>0</v>
      </c>
      <c r="S38" s="68">
        <f t="shared" si="4"/>
        <v>0</v>
      </c>
      <c r="T38" s="310">
        <f t="shared" si="5"/>
        <v>0</v>
      </c>
      <c r="V38" s="120">
        <f>'As-Filed Schedule 2M'!N38</f>
        <v>0</v>
      </c>
      <c r="W38" s="313">
        <f>SUMIFS(Adjustments!$G:$G,Adjustments!$H:$H,"2M",Adjustments!$I:$I,'Schedule 2M Adjustments'!$V$12,Adjustments!$J:$J,'Schedule 2M Adjustments'!$A38)</f>
        <v>0</v>
      </c>
      <c r="X38" s="309">
        <f t="shared" si="6"/>
        <v>0</v>
      </c>
      <c r="Y38" s="120">
        <f>'As-Filed Schedule 2M'!O38</f>
        <v>0</v>
      </c>
      <c r="Z38" s="313">
        <f>SUMIFS(Adjustments!$G:$G,Adjustments!$H:$H,"2M",Adjustments!$I:$I,'Schedule 2M Adjustments'!$Y$12,Adjustments!$J:$J,'Schedule 2M Adjustments'!$A38)</f>
        <v>0</v>
      </c>
      <c r="AA38" s="309">
        <f t="shared" si="7"/>
        <v>0</v>
      </c>
    </row>
    <row r="39" spans="1:27" x14ac:dyDescent="0.35">
      <c r="A39" s="24">
        <v>25</v>
      </c>
      <c r="B39" s="507" t="str">
        <f>IF('As-Filed Schedule 2M'!B39:D39=0,"",'As-Filed Schedule 2M'!B39:D39)</f>
        <v/>
      </c>
      <c r="C39" s="507"/>
      <c r="D39" s="507"/>
      <c r="F39" s="117">
        <f>'As-Filed Schedule 2M'!F39</f>
        <v>0</v>
      </c>
      <c r="G39" s="313">
        <f>SUMIFS(Adjustments!$G:$G,Adjustments!$H:$H,"2M",Adjustments!$I:$I,'Schedule 2M Adjustments'!$F$12,Adjustments!$J:$J,'Schedule 2M Adjustments'!$A39)</f>
        <v>0</v>
      </c>
      <c r="H39" s="309">
        <f t="shared" si="0"/>
        <v>0</v>
      </c>
      <c r="I39" s="68">
        <f>IFERROR(F39*'As-Filed Schedule 1'!$E$103,0)</f>
        <v>0</v>
      </c>
      <c r="J39" s="310">
        <f>IFERROR(H39*'Adjusted Schedule 1'!$E$104,0)</f>
        <v>0</v>
      </c>
      <c r="K39" s="68">
        <f t="shared" si="1"/>
        <v>0</v>
      </c>
      <c r="L39" s="310">
        <f t="shared" si="2"/>
        <v>0</v>
      </c>
      <c r="N39" s="117">
        <f>'As-Filed Schedule 2M'!J39</f>
        <v>0</v>
      </c>
      <c r="O39" s="313">
        <f>SUMIFS(Adjustments!$G:$G,Adjustments!$H:$H,"2M",Adjustments!$I:$I,'Schedule 2M Adjustments'!$N$12,Adjustments!$J:$J,'Schedule 2M Adjustments'!$A39)</f>
        <v>0</v>
      </c>
      <c r="P39" s="309">
        <f t="shared" si="3"/>
        <v>0</v>
      </c>
      <c r="Q39" s="68">
        <f>IFERROR(N39*'As-Filed Schedule 1'!$E$103,0)</f>
        <v>0</v>
      </c>
      <c r="R39" s="68">
        <f>IFERROR(P39*'Adjusted Schedule 1'!$E$104,0)</f>
        <v>0</v>
      </c>
      <c r="S39" s="68">
        <f t="shared" si="4"/>
        <v>0</v>
      </c>
      <c r="T39" s="310">
        <f t="shared" si="5"/>
        <v>0</v>
      </c>
      <c r="V39" s="120">
        <f>'As-Filed Schedule 2M'!N39</f>
        <v>0</v>
      </c>
      <c r="W39" s="313">
        <f>SUMIFS(Adjustments!$G:$G,Adjustments!$H:$H,"2M",Adjustments!$I:$I,'Schedule 2M Adjustments'!$V$12,Adjustments!$J:$J,'Schedule 2M Adjustments'!$A39)</f>
        <v>0</v>
      </c>
      <c r="X39" s="309">
        <f t="shared" si="6"/>
        <v>0</v>
      </c>
      <c r="Y39" s="120">
        <f>'As-Filed Schedule 2M'!O39</f>
        <v>0</v>
      </c>
      <c r="Z39" s="313">
        <f>SUMIFS(Adjustments!$G:$G,Adjustments!$H:$H,"2M",Adjustments!$I:$I,'Schedule 2M Adjustments'!$Y$12,Adjustments!$J:$J,'Schedule 2M Adjustments'!$A39)</f>
        <v>0</v>
      </c>
      <c r="AA39" s="309">
        <f t="shared" si="7"/>
        <v>0</v>
      </c>
    </row>
    <row r="40" spans="1:27" x14ac:dyDescent="0.35">
      <c r="A40" s="24">
        <v>26</v>
      </c>
      <c r="B40" s="507" t="str">
        <f>IF('As-Filed Schedule 2M'!B40:D40=0,"",'As-Filed Schedule 2M'!B40:D40)</f>
        <v/>
      </c>
      <c r="C40" s="507"/>
      <c r="D40" s="507"/>
      <c r="F40" s="117">
        <f>'As-Filed Schedule 2M'!F40</f>
        <v>0</v>
      </c>
      <c r="G40" s="313">
        <f>SUMIFS(Adjustments!$G:$G,Adjustments!$H:$H,"2M",Adjustments!$I:$I,'Schedule 2M Adjustments'!$F$12,Adjustments!$J:$J,'Schedule 2M Adjustments'!$A40)</f>
        <v>0</v>
      </c>
      <c r="H40" s="309">
        <f t="shared" si="0"/>
        <v>0</v>
      </c>
      <c r="I40" s="68">
        <f>IFERROR(F40*'As-Filed Schedule 1'!$E$103,0)</f>
        <v>0</v>
      </c>
      <c r="J40" s="310">
        <f>IFERROR(H40*'Adjusted Schedule 1'!$E$104,0)</f>
        <v>0</v>
      </c>
      <c r="K40" s="68">
        <f t="shared" si="1"/>
        <v>0</v>
      </c>
      <c r="L40" s="310">
        <f t="shared" si="2"/>
        <v>0</v>
      </c>
      <c r="N40" s="117">
        <f>'As-Filed Schedule 2M'!J40</f>
        <v>0</v>
      </c>
      <c r="O40" s="313">
        <f>SUMIFS(Adjustments!$G:$G,Adjustments!$H:$H,"2M",Adjustments!$I:$I,'Schedule 2M Adjustments'!$N$12,Adjustments!$J:$J,'Schedule 2M Adjustments'!$A40)</f>
        <v>0</v>
      </c>
      <c r="P40" s="309">
        <f t="shared" si="3"/>
        <v>0</v>
      </c>
      <c r="Q40" s="68">
        <f>IFERROR(N40*'As-Filed Schedule 1'!$E$103,0)</f>
        <v>0</v>
      </c>
      <c r="R40" s="68">
        <f>IFERROR(P40*'Adjusted Schedule 1'!$E$104,0)</f>
        <v>0</v>
      </c>
      <c r="S40" s="68">
        <f t="shared" si="4"/>
        <v>0</v>
      </c>
      <c r="T40" s="310">
        <f t="shared" si="5"/>
        <v>0</v>
      </c>
      <c r="V40" s="120">
        <f>'As-Filed Schedule 2M'!N40</f>
        <v>0</v>
      </c>
      <c r="W40" s="313">
        <f>SUMIFS(Adjustments!$G:$G,Adjustments!$H:$H,"2M",Adjustments!$I:$I,'Schedule 2M Adjustments'!$V$12,Adjustments!$J:$J,'Schedule 2M Adjustments'!$A40)</f>
        <v>0</v>
      </c>
      <c r="X40" s="309">
        <f t="shared" si="6"/>
        <v>0</v>
      </c>
      <c r="Y40" s="120">
        <f>'As-Filed Schedule 2M'!O40</f>
        <v>0</v>
      </c>
      <c r="Z40" s="313">
        <f>SUMIFS(Adjustments!$G:$G,Adjustments!$H:$H,"2M",Adjustments!$I:$I,'Schedule 2M Adjustments'!$Y$12,Adjustments!$J:$J,'Schedule 2M Adjustments'!$A40)</f>
        <v>0</v>
      </c>
      <c r="AA40" s="309">
        <f t="shared" si="7"/>
        <v>0</v>
      </c>
    </row>
    <row r="41" spans="1:27" x14ac:dyDescent="0.35">
      <c r="A41" s="24">
        <v>27</v>
      </c>
      <c r="B41" s="507" t="str">
        <f>IF('As-Filed Schedule 2M'!B41:D41=0,"",'As-Filed Schedule 2M'!B41:D41)</f>
        <v/>
      </c>
      <c r="C41" s="507"/>
      <c r="D41" s="507"/>
      <c r="F41" s="117">
        <f>'As-Filed Schedule 2M'!F41</f>
        <v>0</v>
      </c>
      <c r="G41" s="313">
        <f>SUMIFS(Adjustments!$G:$G,Adjustments!$H:$H,"2M",Adjustments!$I:$I,'Schedule 2M Adjustments'!$F$12,Adjustments!$J:$J,'Schedule 2M Adjustments'!$A41)</f>
        <v>0</v>
      </c>
      <c r="H41" s="309">
        <f t="shared" si="0"/>
        <v>0</v>
      </c>
      <c r="I41" s="68">
        <f>IFERROR(F41*'As-Filed Schedule 1'!$E$103,0)</f>
        <v>0</v>
      </c>
      <c r="J41" s="310">
        <f>IFERROR(H41*'Adjusted Schedule 1'!$E$104,0)</f>
        <v>0</v>
      </c>
      <c r="K41" s="68">
        <f t="shared" si="1"/>
        <v>0</v>
      </c>
      <c r="L41" s="310">
        <f t="shared" si="2"/>
        <v>0</v>
      </c>
      <c r="N41" s="117">
        <f>'As-Filed Schedule 2M'!J41</f>
        <v>0</v>
      </c>
      <c r="O41" s="313">
        <f>SUMIFS(Adjustments!$G:$G,Adjustments!$H:$H,"2M",Adjustments!$I:$I,'Schedule 2M Adjustments'!$N$12,Adjustments!$J:$J,'Schedule 2M Adjustments'!$A41)</f>
        <v>0</v>
      </c>
      <c r="P41" s="309">
        <f t="shared" si="3"/>
        <v>0</v>
      </c>
      <c r="Q41" s="68">
        <f>IFERROR(N41*'As-Filed Schedule 1'!$E$103,0)</f>
        <v>0</v>
      </c>
      <c r="R41" s="68">
        <f>IFERROR(P41*'Adjusted Schedule 1'!$E$104,0)</f>
        <v>0</v>
      </c>
      <c r="S41" s="68">
        <f t="shared" si="4"/>
        <v>0</v>
      </c>
      <c r="T41" s="310">
        <f t="shared" si="5"/>
        <v>0</v>
      </c>
      <c r="V41" s="120">
        <f>'As-Filed Schedule 2M'!N41</f>
        <v>0</v>
      </c>
      <c r="W41" s="313">
        <f>SUMIFS(Adjustments!$G:$G,Adjustments!$H:$H,"2M",Adjustments!$I:$I,'Schedule 2M Adjustments'!$V$12,Adjustments!$J:$J,'Schedule 2M Adjustments'!$A41)</f>
        <v>0</v>
      </c>
      <c r="X41" s="309">
        <f t="shared" si="6"/>
        <v>0</v>
      </c>
      <c r="Y41" s="120">
        <f>'As-Filed Schedule 2M'!O41</f>
        <v>0</v>
      </c>
      <c r="Z41" s="313">
        <f>SUMIFS(Adjustments!$G:$G,Adjustments!$H:$H,"2M",Adjustments!$I:$I,'Schedule 2M Adjustments'!$Y$12,Adjustments!$J:$J,'Schedule 2M Adjustments'!$A41)</f>
        <v>0</v>
      </c>
      <c r="AA41" s="309">
        <f t="shared" si="7"/>
        <v>0</v>
      </c>
    </row>
    <row r="42" spans="1:27" x14ac:dyDescent="0.35">
      <c r="A42" s="24">
        <v>28</v>
      </c>
      <c r="B42" s="507" t="str">
        <f>IF('As-Filed Schedule 2M'!B42:D42=0,"",'As-Filed Schedule 2M'!B42:D42)</f>
        <v/>
      </c>
      <c r="C42" s="507"/>
      <c r="D42" s="507"/>
      <c r="F42" s="117">
        <f>'As-Filed Schedule 2M'!F42</f>
        <v>0</v>
      </c>
      <c r="G42" s="313">
        <f>SUMIFS(Adjustments!$G:$G,Adjustments!$H:$H,"2M",Adjustments!$I:$I,'Schedule 2M Adjustments'!$F$12,Adjustments!$J:$J,'Schedule 2M Adjustments'!$A42)</f>
        <v>0</v>
      </c>
      <c r="H42" s="309">
        <f t="shared" si="0"/>
        <v>0</v>
      </c>
      <c r="I42" s="68">
        <f>IFERROR(F42*'As-Filed Schedule 1'!$E$103,0)</f>
        <v>0</v>
      </c>
      <c r="J42" s="310">
        <f>IFERROR(H42*'Adjusted Schedule 1'!$E$104,0)</f>
        <v>0</v>
      </c>
      <c r="K42" s="68">
        <f t="shared" si="1"/>
        <v>0</v>
      </c>
      <c r="L42" s="310">
        <f t="shared" si="2"/>
        <v>0</v>
      </c>
      <c r="N42" s="117">
        <f>'As-Filed Schedule 2M'!J42</f>
        <v>0</v>
      </c>
      <c r="O42" s="313">
        <f>SUMIFS(Adjustments!$G:$G,Adjustments!$H:$H,"2M",Adjustments!$I:$I,'Schedule 2M Adjustments'!$N$12,Adjustments!$J:$J,'Schedule 2M Adjustments'!$A42)</f>
        <v>0</v>
      </c>
      <c r="P42" s="309">
        <f t="shared" si="3"/>
        <v>0</v>
      </c>
      <c r="Q42" s="68">
        <f>IFERROR(N42*'As-Filed Schedule 1'!$E$103,0)</f>
        <v>0</v>
      </c>
      <c r="R42" s="68">
        <f>IFERROR(P42*'Adjusted Schedule 1'!$E$104,0)</f>
        <v>0</v>
      </c>
      <c r="S42" s="68">
        <f t="shared" si="4"/>
        <v>0</v>
      </c>
      <c r="T42" s="310">
        <f t="shared" si="5"/>
        <v>0</v>
      </c>
      <c r="V42" s="120">
        <f>'As-Filed Schedule 2M'!N42</f>
        <v>0</v>
      </c>
      <c r="W42" s="313">
        <f>SUMIFS(Adjustments!$G:$G,Adjustments!$H:$H,"2M",Adjustments!$I:$I,'Schedule 2M Adjustments'!$V$12,Adjustments!$J:$J,'Schedule 2M Adjustments'!$A42)</f>
        <v>0</v>
      </c>
      <c r="X42" s="309">
        <f t="shared" si="6"/>
        <v>0</v>
      </c>
      <c r="Y42" s="120">
        <f>'As-Filed Schedule 2M'!O42</f>
        <v>0</v>
      </c>
      <c r="Z42" s="313">
        <f>SUMIFS(Adjustments!$G:$G,Adjustments!$H:$H,"2M",Adjustments!$I:$I,'Schedule 2M Adjustments'!$Y$12,Adjustments!$J:$J,'Schedule 2M Adjustments'!$A42)</f>
        <v>0</v>
      </c>
      <c r="AA42" s="309">
        <f t="shared" si="7"/>
        <v>0</v>
      </c>
    </row>
    <row r="43" spans="1:27" x14ac:dyDescent="0.35">
      <c r="A43" s="24">
        <v>29</v>
      </c>
      <c r="B43" s="507" t="str">
        <f>IF('As-Filed Schedule 2M'!B43:D43=0,"",'As-Filed Schedule 2M'!B43:D43)</f>
        <v/>
      </c>
      <c r="C43" s="507"/>
      <c r="D43" s="507"/>
      <c r="F43" s="117">
        <f>'As-Filed Schedule 2M'!F43</f>
        <v>0</v>
      </c>
      <c r="G43" s="313">
        <f>SUMIFS(Adjustments!$G:$G,Adjustments!$H:$H,"2M",Adjustments!$I:$I,'Schedule 2M Adjustments'!$F$12,Adjustments!$J:$J,'Schedule 2M Adjustments'!$A43)</f>
        <v>0</v>
      </c>
      <c r="H43" s="309">
        <f t="shared" si="0"/>
        <v>0</v>
      </c>
      <c r="I43" s="68">
        <f>IFERROR(F43*'As-Filed Schedule 1'!$E$103,0)</f>
        <v>0</v>
      </c>
      <c r="J43" s="310">
        <f>IFERROR(H43*'Adjusted Schedule 1'!$E$104,0)</f>
        <v>0</v>
      </c>
      <c r="K43" s="68">
        <f t="shared" si="1"/>
        <v>0</v>
      </c>
      <c r="L43" s="310">
        <f t="shared" si="2"/>
        <v>0</v>
      </c>
      <c r="N43" s="117">
        <f>'As-Filed Schedule 2M'!J43</f>
        <v>0</v>
      </c>
      <c r="O43" s="313">
        <f>SUMIFS(Adjustments!$G:$G,Adjustments!$H:$H,"2M",Adjustments!$I:$I,'Schedule 2M Adjustments'!$N$12,Adjustments!$J:$J,'Schedule 2M Adjustments'!$A43)</f>
        <v>0</v>
      </c>
      <c r="P43" s="309">
        <f t="shared" si="3"/>
        <v>0</v>
      </c>
      <c r="Q43" s="68">
        <f>IFERROR(N43*'As-Filed Schedule 1'!$E$103,0)</f>
        <v>0</v>
      </c>
      <c r="R43" s="68">
        <f>IFERROR(P43*'Adjusted Schedule 1'!$E$104,0)</f>
        <v>0</v>
      </c>
      <c r="S43" s="68">
        <f t="shared" si="4"/>
        <v>0</v>
      </c>
      <c r="T43" s="310">
        <f t="shared" si="5"/>
        <v>0</v>
      </c>
      <c r="V43" s="120">
        <f>'As-Filed Schedule 2M'!N43</f>
        <v>0</v>
      </c>
      <c r="W43" s="313">
        <f>SUMIFS(Adjustments!$G:$G,Adjustments!$H:$H,"2M",Adjustments!$I:$I,'Schedule 2M Adjustments'!$V$12,Adjustments!$J:$J,'Schedule 2M Adjustments'!$A43)</f>
        <v>0</v>
      </c>
      <c r="X43" s="309">
        <f t="shared" si="6"/>
        <v>0</v>
      </c>
      <c r="Y43" s="120">
        <f>'As-Filed Schedule 2M'!O43</f>
        <v>0</v>
      </c>
      <c r="Z43" s="313">
        <f>SUMIFS(Adjustments!$G:$G,Adjustments!$H:$H,"2M",Adjustments!$I:$I,'Schedule 2M Adjustments'!$Y$12,Adjustments!$J:$J,'Schedule 2M Adjustments'!$A43)</f>
        <v>0</v>
      </c>
      <c r="AA43" s="309">
        <f t="shared" si="7"/>
        <v>0</v>
      </c>
    </row>
    <row r="44" spans="1:27" x14ac:dyDescent="0.35">
      <c r="A44" s="24">
        <v>30</v>
      </c>
      <c r="B44" s="507" t="str">
        <f>IF('As-Filed Schedule 2M'!B44:D44=0,"",'As-Filed Schedule 2M'!B44:D44)</f>
        <v/>
      </c>
      <c r="C44" s="507"/>
      <c r="D44" s="507"/>
      <c r="F44" s="117">
        <f>'As-Filed Schedule 2M'!F44</f>
        <v>0</v>
      </c>
      <c r="G44" s="313">
        <f>SUMIFS(Adjustments!$G:$G,Adjustments!$H:$H,"2M",Adjustments!$I:$I,'Schedule 2M Adjustments'!$F$12,Adjustments!$J:$J,'Schedule 2M Adjustments'!$A44)</f>
        <v>0</v>
      </c>
      <c r="H44" s="309">
        <f t="shared" si="0"/>
        <v>0</v>
      </c>
      <c r="I44" s="68">
        <f>IFERROR(F44*'As-Filed Schedule 1'!$E$103,0)</f>
        <v>0</v>
      </c>
      <c r="J44" s="310">
        <f>IFERROR(H44*'Adjusted Schedule 1'!$E$104,0)</f>
        <v>0</v>
      </c>
      <c r="K44" s="68">
        <f t="shared" si="1"/>
        <v>0</v>
      </c>
      <c r="L44" s="310">
        <f t="shared" si="2"/>
        <v>0</v>
      </c>
      <c r="N44" s="117">
        <f>'As-Filed Schedule 2M'!J44</f>
        <v>0</v>
      </c>
      <c r="O44" s="313">
        <f>SUMIFS(Adjustments!$G:$G,Adjustments!$H:$H,"2M",Adjustments!$I:$I,'Schedule 2M Adjustments'!$N$12,Adjustments!$J:$J,'Schedule 2M Adjustments'!$A44)</f>
        <v>0</v>
      </c>
      <c r="P44" s="309">
        <f t="shared" si="3"/>
        <v>0</v>
      </c>
      <c r="Q44" s="68">
        <f>IFERROR(N44*'As-Filed Schedule 1'!$E$103,0)</f>
        <v>0</v>
      </c>
      <c r="R44" s="68">
        <f>IFERROR(P44*'Adjusted Schedule 1'!$E$104,0)</f>
        <v>0</v>
      </c>
      <c r="S44" s="68">
        <f t="shared" si="4"/>
        <v>0</v>
      </c>
      <c r="T44" s="310">
        <f t="shared" si="5"/>
        <v>0</v>
      </c>
      <c r="V44" s="120">
        <f>'As-Filed Schedule 2M'!N44</f>
        <v>0</v>
      </c>
      <c r="W44" s="313">
        <f>SUMIFS(Adjustments!$G:$G,Adjustments!$H:$H,"2M",Adjustments!$I:$I,'Schedule 2M Adjustments'!$V$12,Adjustments!$J:$J,'Schedule 2M Adjustments'!$A44)</f>
        <v>0</v>
      </c>
      <c r="X44" s="309">
        <f t="shared" si="6"/>
        <v>0</v>
      </c>
      <c r="Y44" s="120">
        <f>'As-Filed Schedule 2M'!O44</f>
        <v>0</v>
      </c>
      <c r="Z44" s="313">
        <f>SUMIFS(Adjustments!$G:$G,Adjustments!$H:$H,"2M",Adjustments!$I:$I,'Schedule 2M Adjustments'!$Y$12,Adjustments!$J:$J,'Schedule 2M Adjustments'!$A44)</f>
        <v>0</v>
      </c>
      <c r="AA44" s="309">
        <f t="shared" si="7"/>
        <v>0</v>
      </c>
    </row>
    <row r="45" spans="1:27" x14ac:dyDescent="0.35">
      <c r="A45" s="24">
        <v>31</v>
      </c>
      <c r="B45" s="507" t="str">
        <f>IF('As-Filed Schedule 2M'!B45:D45=0,"",'As-Filed Schedule 2M'!B45:D45)</f>
        <v/>
      </c>
      <c r="C45" s="507"/>
      <c r="D45" s="507"/>
      <c r="F45" s="117">
        <f>'As-Filed Schedule 2M'!F45</f>
        <v>0</v>
      </c>
      <c r="G45" s="313">
        <f>SUMIFS(Adjustments!$G:$G,Adjustments!$H:$H,"2M",Adjustments!$I:$I,'Schedule 2M Adjustments'!$F$12,Adjustments!$J:$J,'Schedule 2M Adjustments'!$A45)</f>
        <v>0</v>
      </c>
      <c r="H45" s="309">
        <f t="shared" si="0"/>
        <v>0</v>
      </c>
      <c r="I45" s="68">
        <f>IFERROR(F45*'As-Filed Schedule 1'!$E$103,0)</f>
        <v>0</v>
      </c>
      <c r="J45" s="310">
        <f>IFERROR(H45*'Adjusted Schedule 1'!$E$104,0)</f>
        <v>0</v>
      </c>
      <c r="K45" s="68">
        <f t="shared" si="1"/>
        <v>0</v>
      </c>
      <c r="L45" s="310">
        <f t="shared" si="2"/>
        <v>0</v>
      </c>
      <c r="N45" s="117">
        <f>'As-Filed Schedule 2M'!J45</f>
        <v>0</v>
      </c>
      <c r="O45" s="313">
        <f>SUMIFS(Adjustments!$G:$G,Adjustments!$H:$H,"2M",Adjustments!$I:$I,'Schedule 2M Adjustments'!$N$12,Adjustments!$J:$J,'Schedule 2M Adjustments'!$A45)</f>
        <v>0</v>
      </c>
      <c r="P45" s="309">
        <f t="shared" si="3"/>
        <v>0</v>
      </c>
      <c r="Q45" s="68">
        <f>IFERROR(N45*'As-Filed Schedule 1'!$E$103,0)</f>
        <v>0</v>
      </c>
      <c r="R45" s="68">
        <f>IFERROR(P45*'Adjusted Schedule 1'!$E$104,0)</f>
        <v>0</v>
      </c>
      <c r="S45" s="68">
        <f t="shared" si="4"/>
        <v>0</v>
      </c>
      <c r="T45" s="310">
        <f t="shared" si="5"/>
        <v>0</v>
      </c>
      <c r="V45" s="120">
        <f>'As-Filed Schedule 2M'!N45</f>
        <v>0</v>
      </c>
      <c r="W45" s="313">
        <f>SUMIFS(Adjustments!$G:$G,Adjustments!$H:$H,"2M",Adjustments!$I:$I,'Schedule 2M Adjustments'!$V$12,Adjustments!$J:$J,'Schedule 2M Adjustments'!$A45)</f>
        <v>0</v>
      </c>
      <c r="X45" s="309">
        <f t="shared" si="6"/>
        <v>0</v>
      </c>
      <c r="Y45" s="120">
        <f>'As-Filed Schedule 2M'!O45</f>
        <v>0</v>
      </c>
      <c r="Z45" s="313">
        <f>SUMIFS(Adjustments!$G:$G,Adjustments!$H:$H,"2M",Adjustments!$I:$I,'Schedule 2M Adjustments'!$Y$12,Adjustments!$J:$J,'Schedule 2M Adjustments'!$A45)</f>
        <v>0</v>
      </c>
      <c r="AA45" s="309">
        <f t="shared" si="7"/>
        <v>0</v>
      </c>
    </row>
    <row r="46" spans="1:27" x14ac:dyDescent="0.35">
      <c r="A46" s="24">
        <v>32</v>
      </c>
      <c r="B46" s="507" t="str">
        <f>IF('As-Filed Schedule 2M'!B46:D46=0,"",'As-Filed Schedule 2M'!B46:D46)</f>
        <v/>
      </c>
      <c r="C46" s="507"/>
      <c r="D46" s="507"/>
      <c r="F46" s="117">
        <f>'As-Filed Schedule 2M'!F46</f>
        <v>0</v>
      </c>
      <c r="G46" s="313">
        <f>SUMIFS(Adjustments!$G:$G,Adjustments!$H:$H,"2M",Adjustments!$I:$I,'Schedule 2M Adjustments'!$F$12,Adjustments!$J:$J,'Schedule 2M Adjustments'!$A46)</f>
        <v>0</v>
      </c>
      <c r="H46" s="309">
        <f t="shared" si="0"/>
        <v>0</v>
      </c>
      <c r="I46" s="68">
        <f>IFERROR(F46*'As-Filed Schedule 1'!$E$103,0)</f>
        <v>0</v>
      </c>
      <c r="J46" s="310">
        <f>IFERROR(H46*'Adjusted Schedule 1'!$E$104,0)</f>
        <v>0</v>
      </c>
      <c r="K46" s="68">
        <f t="shared" si="1"/>
        <v>0</v>
      </c>
      <c r="L46" s="310">
        <f t="shared" si="2"/>
        <v>0</v>
      </c>
      <c r="N46" s="117">
        <f>'As-Filed Schedule 2M'!J46</f>
        <v>0</v>
      </c>
      <c r="O46" s="313">
        <f>SUMIFS(Adjustments!$G:$G,Adjustments!$H:$H,"2M",Adjustments!$I:$I,'Schedule 2M Adjustments'!$N$12,Adjustments!$J:$J,'Schedule 2M Adjustments'!$A46)</f>
        <v>0</v>
      </c>
      <c r="P46" s="309">
        <f t="shared" si="3"/>
        <v>0</v>
      </c>
      <c r="Q46" s="68">
        <f>IFERROR(N46*'As-Filed Schedule 1'!$E$103,0)</f>
        <v>0</v>
      </c>
      <c r="R46" s="68">
        <f>IFERROR(P46*'Adjusted Schedule 1'!$E$104,0)</f>
        <v>0</v>
      </c>
      <c r="S46" s="68">
        <f t="shared" si="4"/>
        <v>0</v>
      </c>
      <c r="T46" s="310">
        <f t="shared" si="5"/>
        <v>0</v>
      </c>
      <c r="V46" s="120">
        <f>'As-Filed Schedule 2M'!N46</f>
        <v>0</v>
      </c>
      <c r="W46" s="313">
        <f>SUMIFS(Adjustments!$G:$G,Adjustments!$H:$H,"2M",Adjustments!$I:$I,'Schedule 2M Adjustments'!$V$12,Adjustments!$J:$J,'Schedule 2M Adjustments'!$A46)</f>
        <v>0</v>
      </c>
      <c r="X46" s="309">
        <f t="shared" si="6"/>
        <v>0</v>
      </c>
      <c r="Y46" s="120">
        <f>'As-Filed Schedule 2M'!O46</f>
        <v>0</v>
      </c>
      <c r="Z46" s="313">
        <f>SUMIFS(Adjustments!$G:$G,Adjustments!$H:$H,"2M",Adjustments!$I:$I,'Schedule 2M Adjustments'!$Y$12,Adjustments!$J:$J,'Schedule 2M Adjustments'!$A46)</f>
        <v>0</v>
      </c>
      <c r="AA46" s="309">
        <f t="shared" si="7"/>
        <v>0</v>
      </c>
    </row>
    <row r="47" spans="1:27" x14ac:dyDescent="0.35">
      <c r="A47" s="24">
        <v>33</v>
      </c>
      <c r="B47" s="507" t="str">
        <f>IF('As-Filed Schedule 2M'!B47:D47=0,"",'As-Filed Schedule 2M'!B47:D47)</f>
        <v/>
      </c>
      <c r="C47" s="507"/>
      <c r="D47" s="507"/>
      <c r="F47" s="117">
        <f>'As-Filed Schedule 2M'!F47</f>
        <v>0</v>
      </c>
      <c r="G47" s="313">
        <f>SUMIFS(Adjustments!$G:$G,Adjustments!$H:$H,"2M",Adjustments!$I:$I,'Schedule 2M Adjustments'!$F$12,Adjustments!$J:$J,'Schedule 2M Adjustments'!$A47)</f>
        <v>0</v>
      </c>
      <c r="H47" s="309">
        <f t="shared" si="0"/>
        <v>0</v>
      </c>
      <c r="I47" s="68">
        <f>IFERROR(F47*'As-Filed Schedule 1'!$E$103,0)</f>
        <v>0</v>
      </c>
      <c r="J47" s="310">
        <f>IFERROR(H47*'Adjusted Schedule 1'!$E$104,0)</f>
        <v>0</v>
      </c>
      <c r="K47" s="68">
        <f t="shared" si="1"/>
        <v>0</v>
      </c>
      <c r="L47" s="310">
        <f t="shared" si="2"/>
        <v>0</v>
      </c>
      <c r="N47" s="117">
        <f>'As-Filed Schedule 2M'!J47</f>
        <v>0</v>
      </c>
      <c r="O47" s="313">
        <f>SUMIFS(Adjustments!$G:$G,Adjustments!$H:$H,"2M",Adjustments!$I:$I,'Schedule 2M Adjustments'!$N$12,Adjustments!$J:$J,'Schedule 2M Adjustments'!$A47)</f>
        <v>0</v>
      </c>
      <c r="P47" s="309">
        <f t="shared" si="3"/>
        <v>0</v>
      </c>
      <c r="Q47" s="68">
        <f>IFERROR(N47*'As-Filed Schedule 1'!$E$103,0)</f>
        <v>0</v>
      </c>
      <c r="R47" s="68">
        <f>IFERROR(P47*'Adjusted Schedule 1'!$E$104,0)</f>
        <v>0</v>
      </c>
      <c r="S47" s="68">
        <f t="shared" si="4"/>
        <v>0</v>
      </c>
      <c r="T47" s="310">
        <f t="shared" si="5"/>
        <v>0</v>
      </c>
      <c r="V47" s="120">
        <f>'As-Filed Schedule 2M'!N47</f>
        <v>0</v>
      </c>
      <c r="W47" s="313">
        <f>SUMIFS(Adjustments!$G:$G,Adjustments!$H:$H,"2M",Adjustments!$I:$I,'Schedule 2M Adjustments'!$V$12,Adjustments!$J:$J,'Schedule 2M Adjustments'!$A47)</f>
        <v>0</v>
      </c>
      <c r="X47" s="309">
        <f t="shared" si="6"/>
        <v>0</v>
      </c>
      <c r="Y47" s="120">
        <f>'As-Filed Schedule 2M'!O47</f>
        <v>0</v>
      </c>
      <c r="Z47" s="313">
        <f>SUMIFS(Adjustments!$G:$G,Adjustments!$H:$H,"2M",Adjustments!$I:$I,'Schedule 2M Adjustments'!$Y$12,Adjustments!$J:$J,'Schedule 2M Adjustments'!$A47)</f>
        <v>0</v>
      </c>
      <c r="AA47" s="309">
        <f t="shared" si="7"/>
        <v>0</v>
      </c>
    </row>
    <row r="48" spans="1:27" x14ac:dyDescent="0.35">
      <c r="A48" s="24">
        <v>34</v>
      </c>
      <c r="B48" s="507" t="str">
        <f>IF('As-Filed Schedule 2M'!B48:D48=0,"",'As-Filed Schedule 2M'!B48:D48)</f>
        <v/>
      </c>
      <c r="C48" s="507"/>
      <c r="D48" s="507"/>
      <c r="F48" s="117">
        <f>'As-Filed Schedule 2M'!F48</f>
        <v>0</v>
      </c>
      <c r="G48" s="313">
        <f>SUMIFS(Adjustments!$G:$G,Adjustments!$H:$H,"2M",Adjustments!$I:$I,'Schedule 2M Adjustments'!$F$12,Adjustments!$J:$J,'Schedule 2M Adjustments'!$A48)</f>
        <v>0</v>
      </c>
      <c r="H48" s="309">
        <f t="shared" si="0"/>
        <v>0</v>
      </c>
      <c r="I48" s="68">
        <f>IFERROR(F48*'As-Filed Schedule 1'!$E$103,0)</f>
        <v>0</v>
      </c>
      <c r="J48" s="310">
        <f>IFERROR(H48*'Adjusted Schedule 1'!$E$104,0)</f>
        <v>0</v>
      </c>
      <c r="K48" s="68">
        <f t="shared" si="1"/>
        <v>0</v>
      </c>
      <c r="L48" s="310">
        <f t="shared" si="2"/>
        <v>0</v>
      </c>
      <c r="N48" s="117">
        <f>'As-Filed Schedule 2M'!J48</f>
        <v>0</v>
      </c>
      <c r="O48" s="313">
        <f>SUMIFS(Adjustments!$G:$G,Adjustments!$H:$H,"2M",Adjustments!$I:$I,'Schedule 2M Adjustments'!$N$12,Adjustments!$J:$J,'Schedule 2M Adjustments'!$A48)</f>
        <v>0</v>
      </c>
      <c r="P48" s="309">
        <f t="shared" si="3"/>
        <v>0</v>
      </c>
      <c r="Q48" s="68">
        <f>IFERROR(N48*'As-Filed Schedule 1'!$E$103,0)</f>
        <v>0</v>
      </c>
      <c r="R48" s="68">
        <f>IFERROR(P48*'Adjusted Schedule 1'!$E$104,0)</f>
        <v>0</v>
      </c>
      <c r="S48" s="68">
        <f t="shared" si="4"/>
        <v>0</v>
      </c>
      <c r="T48" s="310">
        <f t="shared" si="5"/>
        <v>0</v>
      </c>
      <c r="V48" s="120">
        <f>'As-Filed Schedule 2M'!N48</f>
        <v>0</v>
      </c>
      <c r="W48" s="313">
        <f>SUMIFS(Adjustments!$G:$G,Adjustments!$H:$H,"2M",Adjustments!$I:$I,'Schedule 2M Adjustments'!$V$12,Adjustments!$J:$J,'Schedule 2M Adjustments'!$A48)</f>
        <v>0</v>
      </c>
      <c r="X48" s="309">
        <f t="shared" si="6"/>
        <v>0</v>
      </c>
      <c r="Y48" s="120">
        <f>'As-Filed Schedule 2M'!O48</f>
        <v>0</v>
      </c>
      <c r="Z48" s="313">
        <f>SUMIFS(Adjustments!$G:$G,Adjustments!$H:$H,"2M",Adjustments!$I:$I,'Schedule 2M Adjustments'!$Y$12,Adjustments!$J:$J,'Schedule 2M Adjustments'!$A48)</f>
        <v>0</v>
      </c>
      <c r="AA48" s="309">
        <f t="shared" si="7"/>
        <v>0</v>
      </c>
    </row>
    <row r="49" spans="1:27" x14ac:dyDescent="0.35">
      <c r="A49" s="24">
        <v>35</v>
      </c>
      <c r="B49" s="507" t="str">
        <f>IF('As-Filed Schedule 2M'!B49:D49=0,"",'As-Filed Schedule 2M'!B49:D49)</f>
        <v/>
      </c>
      <c r="C49" s="507"/>
      <c r="D49" s="507"/>
      <c r="F49" s="117">
        <f>'As-Filed Schedule 2M'!F49</f>
        <v>0</v>
      </c>
      <c r="G49" s="313">
        <f>SUMIFS(Adjustments!$G:$G,Adjustments!$H:$H,"2M",Adjustments!$I:$I,'Schedule 2M Adjustments'!$F$12,Adjustments!$J:$J,'Schedule 2M Adjustments'!$A49)</f>
        <v>0</v>
      </c>
      <c r="H49" s="309">
        <f t="shared" si="0"/>
        <v>0</v>
      </c>
      <c r="I49" s="68">
        <f>IFERROR(F49*'As-Filed Schedule 1'!$E$103,0)</f>
        <v>0</v>
      </c>
      <c r="J49" s="310">
        <f>IFERROR(H49*'Adjusted Schedule 1'!$E$104,0)</f>
        <v>0</v>
      </c>
      <c r="K49" s="68">
        <f t="shared" si="1"/>
        <v>0</v>
      </c>
      <c r="L49" s="310">
        <f t="shared" si="2"/>
        <v>0</v>
      </c>
      <c r="N49" s="117">
        <f>'As-Filed Schedule 2M'!J49</f>
        <v>0</v>
      </c>
      <c r="O49" s="313">
        <f>SUMIFS(Adjustments!$G:$G,Adjustments!$H:$H,"2M",Adjustments!$I:$I,'Schedule 2M Adjustments'!$N$12,Adjustments!$J:$J,'Schedule 2M Adjustments'!$A49)</f>
        <v>0</v>
      </c>
      <c r="P49" s="309">
        <f t="shared" si="3"/>
        <v>0</v>
      </c>
      <c r="Q49" s="68">
        <f>IFERROR(N49*'As-Filed Schedule 1'!$E$103,0)</f>
        <v>0</v>
      </c>
      <c r="R49" s="68">
        <f>IFERROR(P49*'Adjusted Schedule 1'!$E$104,0)</f>
        <v>0</v>
      </c>
      <c r="S49" s="68">
        <f t="shared" si="4"/>
        <v>0</v>
      </c>
      <c r="T49" s="310">
        <f t="shared" si="5"/>
        <v>0</v>
      </c>
      <c r="V49" s="120">
        <f>'As-Filed Schedule 2M'!N49</f>
        <v>0</v>
      </c>
      <c r="W49" s="313">
        <f>SUMIFS(Adjustments!$G:$G,Adjustments!$H:$H,"2M",Adjustments!$I:$I,'Schedule 2M Adjustments'!$V$12,Adjustments!$J:$J,'Schedule 2M Adjustments'!$A49)</f>
        <v>0</v>
      </c>
      <c r="X49" s="309">
        <f t="shared" si="6"/>
        <v>0</v>
      </c>
      <c r="Y49" s="120">
        <f>'As-Filed Schedule 2M'!O49</f>
        <v>0</v>
      </c>
      <c r="Z49" s="313">
        <f>SUMIFS(Adjustments!$G:$G,Adjustments!$H:$H,"2M",Adjustments!$I:$I,'Schedule 2M Adjustments'!$Y$12,Adjustments!$J:$J,'Schedule 2M Adjustments'!$A49)</f>
        <v>0</v>
      </c>
      <c r="AA49" s="309">
        <f t="shared" si="7"/>
        <v>0</v>
      </c>
    </row>
    <row r="50" spans="1:27" x14ac:dyDescent="0.35">
      <c r="A50" s="24">
        <v>36</v>
      </c>
      <c r="B50" s="507" t="str">
        <f>IF('As-Filed Schedule 2M'!B50:D50=0,"",'As-Filed Schedule 2M'!B50:D50)</f>
        <v/>
      </c>
      <c r="C50" s="507"/>
      <c r="D50" s="507"/>
      <c r="F50" s="117">
        <f>'As-Filed Schedule 2M'!F50</f>
        <v>0</v>
      </c>
      <c r="G50" s="313">
        <f>SUMIFS(Adjustments!$G:$G,Adjustments!$H:$H,"2M",Adjustments!$I:$I,'Schedule 2M Adjustments'!$F$12,Adjustments!$J:$J,'Schedule 2M Adjustments'!$A50)</f>
        <v>0</v>
      </c>
      <c r="H50" s="309">
        <f t="shared" si="0"/>
        <v>0</v>
      </c>
      <c r="I50" s="68">
        <f>IFERROR(F50*'As-Filed Schedule 1'!$E$103,0)</f>
        <v>0</v>
      </c>
      <c r="J50" s="310">
        <f>IFERROR(H50*'Adjusted Schedule 1'!$E$104,0)</f>
        <v>0</v>
      </c>
      <c r="K50" s="68">
        <f t="shared" si="1"/>
        <v>0</v>
      </c>
      <c r="L50" s="310">
        <f t="shared" si="2"/>
        <v>0</v>
      </c>
      <c r="N50" s="117">
        <f>'As-Filed Schedule 2M'!J50</f>
        <v>0</v>
      </c>
      <c r="O50" s="313">
        <f>SUMIFS(Adjustments!$G:$G,Adjustments!$H:$H,"2M",Adjustments!$I:$I,'Schedule 2M Adjustments'!$N$12,Adjustments!$J:$J,'Schedule 2M Adjustments'!$A50)</f>
        <v>0</v>
      </c>
      <c r="P50" s="309">
        <f t="shared" si="3"/>
        <v>0</v>
      </c>
      <c r="Q50" s="68">
        <f>IFERROR(N50*'As-Filed Schedule 1'!$E$103,0)</f>
        <v>0</v>
      </c>
      <c r="R50" s="68">
        <f>IFERROR(P50*'Adjusted Schedule 1'!$E$104,0)</f>
        <v>0</v>
      </c>
      <c r="S50" s="68">
        <f t="shared" si="4"/>
        <v>0</v>
      </c>
      <c r="T50" s="310">
        <f t="shared" si="5"/>
        <v>0</v>
      </c>
      <c r="V50" s="120">
        <f>'As-Filed Schedule 2M'!N50</f>
        <v>0</v>
      </c>
      <c r="W50" s="313">
        <f>SUMIFS(Adjustments!$G:$G,Adjustments!$H:$H,"2M",Adjustments!$I:$I,'Schedule 2M Adjustments'!$V$12,Adjustments!$J:$J,'Schedule 2M Adjustments'!$A50)</f>
        <v>0</v>
      </c>
      <c r="X50" s="309">
        <f t="shared" si="6"/>
        <v>0</v>
      </c>
      <c r="Y50" s="120">
        <f>'As-Filed Schedule 2M'!O50</f>
        <v>0</v>
      </c>
      <c r="Z50" s="313">
        <f>SUMIFS(Adjustments!$G:$G,Adjustments!$H:$H,"2M",Adjustments!$I:$I,'Schedule 2M Adjustments'!$Y$12,Adjustments!$J:$J,'Schedule 2M Adjustments'!$A50)</f>
        <v>0</v>
      </c>
      <c r="AA50" s="309">
        <f t="shared" si="7"/>
        <v>0</v>
      </c>
    </row>
    <row r="51" spans="1:27" x14ac:dyDescent="0.35">
      <c r="A51" s="24">
        <v>37</v>
      </c>
      <c r="B51" s="507" t="str">
        <f>IF('As-Filed Schedule 2M'!B51:D51=0,"",'As-Filed Schedule 2M'!B51:D51)</f>
        <v/>
      </c>
      <c r="C51" s="507"/>
      <c r="D51" s="507"/>
      <c r="F51" s="117">
        <f>'As-Filed Schedule 2M'!F51</f>
        <v>0</v>
      </c>
      <c r="G51" s="313">
        <f>SUMIFS(Adjustments!$G:$G,Adjustments!$H:$H,"2M",Adjustments!$I:$I,'Schedule 2M Adjustments'!$F$12,Adjustments!$J:$J,'Schedule 2M Adjustments'!$A51)</f>
        <v>0</v>
      </c>
      <c r="H51" s="309">
        <f t="shared" si="0"/>
        <v>0</v>
      </c>
      <c r="I51" s="68">
        <f>IFERROR(F51*'As-Filed Schedule 1'!$E$103,0)</f>
        <v>0</v>
      </c>
      <c r="J51" s="310">
        <f>IFERROR(H51*'Adjusted Schedule 1'!$E$104,0)</f>
        <v>0</v>
      </c>
      <c r="K51" s="68">
        <f t="shared" si="1"/>
        <v>0</v>
      </c>
      <c r="L51" s="310">
        <f t="shared" si="2"/>
        <v>0</v>
      </c>
      <c r="N51" s="117">
        <f>'As-Filed Schedule 2M'!J51</f>
        <v>0</v>
      </c>
      <c r="O51" s="313">
        <f>SUMIFS(Adjustments!$G:$G,Adjustments!$H:$H,"2M",Adjustments!$I:$I,'Schedule 2M Adjustments'!$N$12,Adjustments!$J:$J,'Schedule 2M Adjustments'!$A51)</f>
        <v>0</v>
      </c>
      <c r="P51" s="309">
        <f t="shared" si="3"/>
        <v>0</v>
      </c>
      <c r="Q51" s="68">
        <f>IFERROR(N51*'As-Filed Schedule 1'!$E$103,0)</f>
        <v>0</v>
      </c>
      <c r="R51" s="68">
        <f>IFERROR(P51*'Adjusted Schedule 1'!$E$104,0)</f>
        <v>0</v>
      </c>
      <c r="S51" s="68">
        <f t="shared" si="4"/>
        <v>0</v>
      </c>
      <c r="T51" s="310">
        <f t="shared" si="5"/>
        <v>0</v>
      </c>
      <c r="V51" s="120">
        <f>'As-Filed Schedule 2M'!N51</f>
        <v>0</v>
      </c>
      <c r="W51" s="313">
        <f>SUMIFS(Adjustments!$G:$G,Adjustments!$H:$H,"2M",Adjustments!$I:$I,'Schedule 2M Adjustments'!$V$12,Adjustments!$J:$J,'Schedule 2M Adjustments'!$A51)</f>
        <v>0</v>
      </c>
      <c r="X51" s="309">
        <f t="shared" si="6"/>
        <v>0</v>
      </c>
      <c r="Y51" s="120">
        <f>'As-Filed Schedule 2M'!O51</f>
        <v>0</v>
      </c>
      <c r="Z51" s="313">
        <f>SUMIFS(Adjustments!$G:$G,Adjustments!$H:$H,"2M",Adjustments!$I:$I,'Schedule 2M Adjustments'!$Y$12,Adjustments!$J:$J,'Schedule 2M Adjustments'!$A51)</f>
        <v>0</v>
      </c>
      <c r="AA51" s="309">
        <f t="shared" si="7"/>
        <v>0</v>
      </c>
    </row>
    <row r="52" spans="1:27" x14ac:dyDescent="0.35">
      <c r="A52" s="24">
        <v>38</v>
      </c>
      <c r="B52" s="507" t="str">
        <f>IF('As-Filed Schedule 2M'!B52:D52=0,"",'As-Filed Schedule 2M'!B52:D52)</f>
        <v/>
      </c>
      <c r="C52" s="507"/>
      <c r="D52" s="507"/>
      <c r="F52" s="117">
        <f>'As-Filed Schedule 2M'!F52</f>
        <v>0</v>
      </c>
      <c r="G52" s="313">
        <f>SUMIFS(Adjustments!$G:$G,Adjustments!$H:$H,"2M",Adjustments!$I:$I,'Schedule 2M Adjustments'!$F$12,Adjustments!$J:$J,'Schedule 2M Adjustments'!$A52)</f>
        <v>0</v>
      </c>
      <c r="H52" s="309">
        <f t="shared" si="0"/>
        <v>0</v>
      </c>
      <c r="I52" s="68">
        <f>IFERROR(F52*'As-Filed Schedule 1'!$E$103,0)</f>
        <v>0</v>
      </c>
      <c r="J52" s="310">
        <f>IFERROR(H52*'Adjusted Schedule 1'!$E$104,0)</f>
        <v>0</v>
      </c>
      <c r="K52" s="68">
        <f t="shared" si="1"/>
        <v>0</v>
      </c>
      <c r="L52" s="310">
        <f t="shared" si="2"/>
        <v>0</v>
      </c>
      <c r="N52" s="117">
        <f>'As-Filed Schedule 2M'!J52</f>
        <v>0</v>
      </c>
      <c r="O52" s="313">
        <f>SUMIFS(Adjustments!$G:$G,Adjustments!$H:$H,"2M",Adjustments!$I:$I,'Schedule 2M Adjustments'!$N$12,Adjustments!$J:$J,'Schedule 2M Adjustments'!$A52)</f>
        <v>0</v>
      </c>
      <c r="P52" s="309">
        <f t="shared" si="3"/>
        <v>0</v>
      </c>
      <c r="Q52" s="68">
        <f>IFERROR(N52*'As-Filed Schedule 1'!$E$103,0)</f>
        <v>0</v>
      </c>
      <c r="R52" s="68">
        <f>IFERROR(P52*'Adjusted Schedule 1'!$E$104,0)</f>
        <v>0</v>
      </c>
      <c r="S52" s="68">
        <f t="shared" si="4"/>
        <v>0</v>
      </c>
      <c r="T52" s="310">
        <f t="shared" si="5"/>
        <v>0</v>
      </c>
      <c r="V52" s="120">
        <f>'As-Filed Schedule 2M'!N52</f>
        <v>0</v>
      </c>
      <c r="W52" s="313">
        <f>SUMIFS(Adjustments!$G:$G,Adjustments!$H:$H,"2M",Adjustments!$I:$I,'Schedule 2M Adjustments'!$V$12,Adjustments!$J:$J,'Schedule 2M Adjustments'!$A52)</f>
        <v>0</v>
      </c>
      <c r="X52" s="309">
        <f t="shared" si="6"/>
        <v>0</v>
      </c>
      <c r="Y52" s="120">
        <f>'As-Filed Schedule 2M'!O52</f>
        <v>0</v>
      </c>
      <c r="Z52" s="313">
        <f>SUMIFS(Adjustments!$G:$G,Adjustments!$H:$H,"2M",Adjustments!$I:$I,'Schedule 2M Adjustments'!$Y$12,Adjustments!$J:$J,'Schedule 2M Adjustments'!$A52)</f>
        <v>0</v>
      </c>
      <c r="AA52" s="309">
        <f t="shared" si="7"/>
        <v>0</v>
      </c>
    </row>
    <row r="53" spans="1:27" x14ac:dyDescent="0.35">
      <c r="A53" s="24">
        <v>39</v>
      </c>
      <c r="B53" s="507" t="str">
        <f>IF('As-Filed Schedule 2M'!B53:D53=0,"",'As-Filed Schedule 2M'!B53:D53)</f>
        <v/>
      </c>
      <c r="C53" s="507"/>
      <c r="D53" s="507"/>
      <c r="F53" s="117">
        <f>'As-Filed Schedule 2M'!F53</f>
        <v>0</v>
      </c>
      <c r="G53" s="313">
        <f>SUMIFS(Adjustments!$G:$G,Adjustments!$H:$H,"2M",Adjustments!$I:$I,'Schedule 2M Adjustments'!$F$12,Adjustments!$J:$J,'Schedule 2M Adjustments'!$A53)</f>
        <v>0</v>
      </c>
      <c r="H53" s="309">
        <f t="shared" si="0"/>
        <v>0</v>
      </c>
      <c r="I53" s="68">
        <f>IFERROR(F53*'As-Filed Schedule 1'!$E$103,0)</f>
        <v>0</v>
      </c>
      <c r="J53" s="310">
        <f>IFERROR(H53*'Adjusted Schedule 1'!$E$104,0)</f>
        <v>0</v>
      </c>
      <c r="K53" s="68">
        <f t="shared" si="1"/>
        <v>0</v>
      </c>
      <c r="L53" s="310">
        <f t="shared" si="2"/>
        <v>0</v>
      </c>
      <c r="N53" s="117">
        <f>'As-Filed Schedule 2M'!J53</f>
        <v>0</v>
      </c>
      <c r="O53" s="313">
        <f>SUMIFS(Adjustments!$G:$G,Adjustments!$H:$H,"2M",Adjustments!$I:$I,'Schedule 2M Adjustments'!$N$12,Adjustments!$J:$J,'Schedule 2M Adjustments'!$A53)</f>
        <v>0</v>
      </c>
      <c r="P53" s="309">
        <f t="shared" si="3"/>
        <v>0</v>
      </c>
      <c r="Q53" s="68">
        <f>IFERROR(N53*'As-Filed Schedule 1'!$E$103,0)</f>
        <v>0</v>
      </c>
      <c r="R53" s="68">
        <f>IFERROR(P53*'Adjusted Schedule 1'!$E$104,0)</f>
        <v>0</v>
      </c>
      <c r="S53" s="68">
        <f t="shared" si="4"/>
        <v>0</v>
      </c>
      <c r="T53" s="310">
        <f t="shared" si="5"/>
        <v>0</v>
      </c>
      <c r="V53" s="120">
        <f>'As-Filed Schedule 2M'!N53</f>
        <v>0</v>
      </c>
      <c r="W53" s="313">
        <f>SUMIFS(Adjustments!$G:$G,Adjustments!$H:$H,"2M",Adjustments!$I:$I,'Schedule 2M Adjustments'!$V$12,Adjustments!$J:$J,'Schedule 2M Adjustments'!$A53)</f>
        <v>0</v>
      </c>
      <c r="X53" s="309">
        <f t="shared" si="6"/>
        <v>0</v>
      </c>
      <c r="Y53" s="120">
        <f>'As-Filed Schedule 2M'!O53</f>
        <v>0</v>
      </c>
      <c r="Z53" s="313">
        <f>SUMIFS(Adjustments!$G:$G,Adjustments!$H:$H,"2M",Adjustments!$I:$I,'Schedule 2M Adjustments'!$Y$12,Adjustments!$J:$J,'Schedule 2M Adjustments'!$A53)</f>
        <v>0</v>
      </c>
      <c r="AA53" s="309">
        <f t="shared" si="7"/>
        <v>0</v>
      </c>
    </row>
    <row r="54" spans="1:27" x14ac:dyDescent="0.35">
      <c r="A54" s="24">
        <v>40</v>
      </c>
      <c r="B54" s="507" t="str">
        <f>IF('As-Filed Schedule 2M'!B54:D54=0,"",'As-Filed Schedule 2M'!B54:D54)</f>
        <v/>
      </c>
      <c r="C54" s="507"/>
      <c r="D54" s="507"/>
      <c r="F54" s="117">
        <f>'As-Filed Schedule 2M'!F54</f>
        <v>0</v>
      </c>
      <c r="G54" s="313">
        <f>SUMIFS(Adjustments!$G:$G,Adjustments!$H:$H,"2M",Adjustments!$I:$I,'Schedule 2M Adjustments'!$F$12,Adjustments!$J:$J,'Schedule 2M Adjustments'!$A54)</f>
        <v>0</v>
      </c>
      <c r="H54" s="309">
        <f t="shared" si="0"/>
        <v>0</v>
      </c>
      <c r="I54" s="68">
        <f>IFERROR(F54*'As-Filed Schedule 1'!$E$103,0)</f>
        <v>0</v>
      </c>
      <c r="J54" s="310">
        <f>IFERROR(H54*'Adjusted Schedule 1'!$E$104,0)</f>
        <v>0</v>
      </c>
      <c r="K54" s="68">
        <f t="shared" si="1"/>
        <v>0</v>
      </c>
      <c r="L54" s="310">
        <f t="shared" si="2"/>
        <v>0</v>
      </c>
      <c r="N54" s="117">
        <f>'As-Filed Schedule 2M'!J54</f>
        <v>0</v>
      </c>
      <c r="O54" s="313">
        <f>SUMIFS(Adjustments!$G:$G,Adjustments!$H:$H,"2M",Adjustments!$I:$I,'Schedule 2M Adjustments'!$N$12,Adjustments!$J:$J,'Schedule 2M Adjustments'!$A54)</f>
        <v>0</v>
      </c>
      <c r="P54" s="309">
        <f t="shared" si="3"/>
        <v>0</v>
      </c>
      <c r="Q54" s="68">
        <f>IFERROR(N54*'As-Filed Schedule 1'!$E$103,0)</f>
        <v>0</v>
      </c>
      <c r="R54" s="68">
        <f>IFERROR(P54*'Adjusted Schedule 1'!$E$104,0)</f>
        <v>0</v>
      </c>
      <c r="S54" s="68">
        <f t="shared" si="4"/>
        <v>0</v>
      </c>
      <c r="T54" s="310">
        <f t="shared" si="5"/>
        <v>0</v>
      </c>
      <c r="V54" s="120">
        <f>'As-Filed Schedule 2M'!N54</f>
        <v>0</v>
      </c>
      <c r="W54" s="313">
        <f>SUMIFS(Adjustments!$G:$G,Adjustments!$H:$H,"2M",Adjustments!$I:$I,'Schedule 2M Adjustments'!$V$12,Adjustments!$J:$J,'Schedule 2M Adjustments'!$A54)</f>
        <v>0</v>
      </c>
      <c r="X54" s="309">
        <f t="shared" si="6"/>
        <v>0</v>
      </c>
      <c r="Y54" s="120">
        <f>'As-Filed Schedule 2M'!O54</f>
        <v>0</v>
      </c>
      <c r="Z54" s="313">
        <f>SUMIFS(Adjustments!$G:$G,Adjustments!$H:$H,"2M",Adjustments!$I:$I,'Schedule 2M Adjustments'!$Y$12,Adjustments!$J:$J,'Schedule 2M Adjustments'!$A54)</f>
        <v>0</v>
      </c>
      <c r="AA54" s="309">
        <f t="shared" si="7"/>
        <v>0</v>
      </c>
    </row>
    <row r="55" spans="1:27" x14ac:dyDescent="0.35">
      <c r="A55" s="24">
        <v>41</v>
      </c>
      <c r="B55" s="507" t="str">
        <f>IF('As-Filed Schedule 2M'!B55:D55=0,"",'As-Filed Schedule 2M'!B55:D55)</f>
        <v/>
      </c>
      <c r="C55" s="507"/>
      <c r="D55" s="507"/>
      <c r="F55" s="117">
        <f>'As-Filed Schedule 2M'!F55</f>
        <v>0</v>
      </c>
      <c r="G55" s="313">
        <f>SUMIFS(Adjustments!$G:$G,Adjustments!$H:$H,"2M",Adjustments!$I:$I,'Schedule 2M Adjustments'!$F$12,Adjustments!$J:$J,'Schedule 2M Adjustments'!$A55)</f>
        <v>0</v>
      </c>
      <c r="H55" s="309">
        <f t="shared" si="0"/>
        <v>0</v>
      </c>
      <c r="I55" s="68">
        <f>IFERROR(F55*'As-Filed Schedule 1'!$E$103,0)</f>
        <v>0</v>
      </c>
      <c r="J55" s="310">
        <f>IFERROR(H55*'Adjusted Schedule 1'!$E$104,0)</f>
        <v>0</v>
      </c>
      <c r="K55" s="68">
        <f t="shared" si="1"/>
        <v>0</v>
      </c>
      <c r="L55" s="310">
        <f t="shared" si="2"/>
        <v>0</v>
      </c>
      <c r="N55" s="117">
        <f>'As-Filed Schedule 2M'!J55</f>
        <v>0</v>
      </c>
      <c r="O55" s="313">
        <f>SUMIFS(Adjustments!$G:$G,Adjustments!$H:$H,"2M",Adjustments!$I:$I,'Schedule 2M Adjustments'!$N$12,Adjustments!$J:$J,'Schedule 2M Adjustments'!$A55)</f>
        <v>0</v>
      </c>
      <c r="P55" s="309">
        <f t="shared" si="3"/>
        <v>0</v>
      </c>
      <c r="Q55" s="68">
        <f>IFERROR(N55*'As-Filed Schedule 1'!$E$103,0)</f>
        <v>0</v>
      </c>
      <c r="R55" s="68">
        <f>IFERROR(P55*'Adjusted Schedule 1'!$E$104,0)</f>
        <v>0</v>
      </c>
      <c r="S55" s="68">
        <f t="shared" si="4"/>
        <v>0</v>
      </c>
      <c r="T55" s="310">
        <f t="shared" si="5"/>
        <v>0</v>
      </c>
      <c r="V55" s="120">
        <f>'As-Filed Schedule 2M'!N55</f>
        <v>0</v>
      </c>
      <c r="W55" s="313">
        <f>SUMIFS(Adjustments!$G:$G,Adjustments!$H:$H,"2M",Adjustments!$I:$I,'Schedule 2M Adjustments'!$V$12,Adjustments!$J:$J,'Schedule 2M Adjustments'!$A55)</f>
        <v>0</v>
      </c>
      <c r="X55" s="309">
        <f t="shared" si="6"/>
        <v>0</v>
      </c>
      <c r="Y55" s="120">
        <f>'As-Filed Schedule 2M'!O55</f>
        <v>0</v>
      </c>
      <c r="Z55" s="313">
        <f>SUMIFS(Adjustments!$G:$G,Adjustments!$H:$H,"2M",Adjustments!$I:$I,'Schedule 2M Adjustments'!$Y$12,Adjustments!$J:$J,'Schedule 2M Adjustments'!$A55)</f>
        <v>0</v>
      </c>
      <c r="AA55" s="309">
        <f t="shared" si="7"/>
        <v>0</v>
      </c>
    </row>
    <row r="56" spans="1:27" x14ac:dyDescent="0.35">
      <c r="A56" s="24">
        <v>42</v>
      </c>
      <c r="B56" s="507" t="str">
        <f>IF('As-Filed Schedule 2M'!B56:D56=0,"",'As-Filed Schedule 2M'!B56:D56)</f>
        <v/>
      </c>
      <c r="C56" s="507"/>
      <c r="D56" s="507"/>
      <c r="F56" s="117">
        <f>'As-Filed Schedule 2M'!F56</f>
        <v>0</v>
      </c>
      <c r="G56" s="313">
        <f>SUMIFS(Adjustments!$G:$G,Adjustments!$H:$H,"2M",Adjustments!$I:$I,'Schedule 2M Adjustments'!$F$12,Adjustments!$J:$J,'Schedule 2M Adjustments'!$A56)</f>
        <v>0</v>
      </c>
      <c r="H56" s="309">
        <f t="shared" si="0"/>
        <v>0</v>
      </c>
      <c r="I56" s="68">
        <f>IFERROR(F56*'As-Filed Schedule 1'!$E$103,0)</f>
        <v>0</v>
      </c>
      <c r="J56" s="310">
        <f>IFERROR(H56*'Adjusted Schedule 1'!$E$104,0)</f>
        <v>0</v>
      </c>
      <c r="K56" s="68">
        <f t="shared" si="1"/>
        <v>0</v>
      </c>
      <c r="L56" s="310">
        <f t="shared" si="2"/>
        <v>0</v>
      </c>
      <c r="N56" s="117">
        <f>'As-Filed Schedule 2M'!J56</f>
        <v>0</v>
      </c>
      <c r="O56" s="313">
        <f>SUMIFS(Adjustments!$G:$G,Adjustments!$H:$H,"2M",Adjustments!$I:$I,'Schedule 2M Adjustments'!$N$12,Adjustments!$J:$J,'Schedule 2M Adjustments'!$A56)</f>
        <v>0</v>
      </c>
      <c r="P56" s="309">
        <f t="shared" si="3"/>
        <v>0</v>
      </c>
      <c r="Q56" s="68">
        <f>IFERROR(N56*'As-Filed Schedule 1'!$E$103,0)</f>
        <v>0</v>
      </c>
      <c r="R56" s="68">
        <f>IFERROR(P56*'Adjusted Schedule 1'!$E$104,0)</f>
        <v>0</v>
      </c>
      <c r="S56" s="68">
        <f t="shared" si="4"/>
        <v>0</v>
      </c>
      <c r="T56" s="310">
        <f t="shared" si="5"/>
        <v>0</v>
      </c>
      <c r="V56" s="120">
        <f>'As-Filed Schedule 2M'!N56</f>
        <v>0</v>
      </c>
      <c r="W56" s="313">
        <f>SUMIFS(Adjustments!$G:$G,Adjustments!$H:$H,"2M",Adjustments!$I:$I,'Schedule 2M Adjustments'!$V$12,Adjustments!$J:$J,'Schedule 2M Adjustments'!$A56)</f>
        <v>0</v>
      </c>
      <c r="X56" s="309">
        <f t="shared" si="6"/>
        <v>0</v>
      </c>
      <c r="Y56" s="120">
        <f>'As-Filed Schedule 2M'!O56</f>
        <v>0</v>
      </c>
      <c r="Z56" s="313">
        <f>SUMIFS(Adjustments!$G:$G,Adjustments!$H:$H,"2M",Adjustments!$I:$I,'Schedule 2M Adjustments'!$Y$12,Adjustments!$J:$J,'Schedule 2M Adjustments'!$A56)</f>
        <v>0</v>
      </c>
      <c r="AA56" s="309">
        <f t="shared" si="7"/>
        <v>0</v>
      </c>
    </row>
    <row r="57" spans="1:27" x14ac:dyDescent="0.35">
      <c r="A57" s="24">
        <v>43</v>
      </c>
      <c r="B57" s="507" t="str">
        <f>IF('As-Filed Schedule 2M'!B57:D57=0,"",'As-Filed Schedule 2M'!B57:D57)</f>
        <v/>
      </c>
      <c r="C57" s="507"/>
      <c r="D57" s="507"/>
      <c r="F57" s="117">
        <f>'As-Filed Schedule 2M'!F57</f>
        <v>0</v>
      </c>
      <c r="G57" s="313">
        <f>SUMIFS(Adjustments!$G:$G,Adjustments!$H:$H,"2M",Adjustments!$I:$I,'Schedule 2M Adjustments'!$F$12,Adjustments!$J:$J,'Schedule 2M Adjustments'!$A57)</f>
        <v>0</v>
      </c>
      <c r="H57" s="309">
        <f t="shared" si="0"/>
        <v>0</v>
      </c>
      <c r="I57" s="68">
        <f>IFERROR(F57*'As-Filed Schedule 1'!$E$103,0)</f>
        <v>0</v>
      </c>
      <c r="J57" s="310">
        <f>IFERROR(H57*'Adjusted Schedule 1'!$E$104,0)</f>
        <v>0</v>
      </c>
      <c r="K57" s="68">
        <f t="shared" si="1"/>
        <v>0</v>
      </c>
      <c r="L57" s="310">
        <f t="shared" si="2"/>
        <v>0</v>
      </c>
      <c r="N57" s="117">
        <f>'As-Filed Schedule 2M'!J57</f>
        <v>0</v>
      </c>
      <c r="O57" s="313">
        <f>SUMIFS(Adjustments!$G:$G,Adjustments!$H:$H,"2M",Adjustments!$I:$I,'Schedule 2M Adjustments'!$N$12,Adjustments!$J:$J,'Schedule 2M Adjustments'!$A57)</f>
        <v>0</v>
      </c>
      <c r="P57" s="309">
        <f t="shared" si="3"/>
        <v>0</v>
      </c>
      <c r="Q57" s="68">
        <f>IFERROR(N57*'As-Filed Schedule 1'!$E$103,0)</f>
        <v>0</v>
      </c>
      <c r="R57" s="68">
        <f>IFERROR(P57*'Adjusted Schedule 1'!$E$104,0)</f>
        <v>0</v>
      </c>
      <c r="S57" s="68">
        <f t="shared" si="4"/>
        <v>0</v>
      </c>
      <c r="T57" s="310">
        <f t="shared" si="5"/>
        <v>0</v>
      </c>
      <c r="V57" s="120">
        <f>'As-Filed Schedule 2M'!N57</f>
        <v>0</v>
      </c>
      <c r="W57" s="313">
        <f>SUMIFS(Adjustments!$G:$G,Adjustments!$H:$H,"2M",Adjustments!$I:$I,'Schedule 2M Adjustments'!$V$12,Adjustments!$J:$J,'Schedule 2M Adjustments'!$A57)</f>
        <v>0</v>
      </c>
      <c r="X57" s="309">
        <f t="shared" si="6"/>
        <v>0</v>
      </c>
      <c r="Y57" s="120">
        <f>'As-Filed Schedule 2M'!O57</f>
        <v>0</v>
      </c>
      <c r="Z57" s="313">
        <f>SUMIFS(Adjustments!$G:$G,Adjustments!$H:$H,"2M",Adjustments!$I:$I,'Schedule 2M Adjustments'!$Y$12,Adjustments!$J:$J,'Schedule 2M Adjustments'!$A57)</f>
        <v>0</v>
      </c>
      <c r="AA57" s="309">
        <f t="shared" si="7"/>
        <v>0</v>
      </c>
    </row>
    <row r="58" spans="1:27" x14ac:dyDescent="0.35">
      <c r="A58" s="24">
        <v>44</v>
      </c>
      <c r="B58" s="507" t="str">
        <f>IF('As-Filed Schedule 2M'!B58:D58=0,"",'As-Filed Schedule 2M'!B58:D58)</f>
        <v/>
      </c>
      <c r="C58" s="507"/>
      <c r="D58" s="507"/>
      <c r="F58" s="117">
        <f>'As-Filed Schedule 2M'!F58</f>
        <v>0</v>
      </c>
      <c r="G58" s="313">
        <f>SUMIFS(Adjustments!$G:$G,Adjustments!$H:$H,"2M",Adjustments!$I:$I,'Schedule 2M Adjustments'!$F$12,Adjustments!$J:$J,'Schedule 2M Adjustments'!$A58)</f>
        <v>0</v>
      </c>
      <c r="H58" s="309">
        <f t="shared" si="0"/>
        <v>0</v>
      </c>
      <c r="I58" s="68">
        <f>IFERROR(F58*'As-Filed Schedule 1'!$E$103,0)</f>
        <v>0</v>
      </c>
      <c r="J58" s="310">
        <f>IFERROR(H58*'Adjusted Schedule 1'!$E$104,0)</f>
        <v>0</v>
      </c>
      <c r="K58" s="68">
        <f t="shared" si="1"/>
        <v>0</v>
      </c>
      <c r="L58" s="310">
        <f t="shared" si="2"/>
        <v>0</v>
      </c>
      <c r="N58" s="117">
        <f>'As-Filed Schedule 2M'!J58</f>
        <v>0</v>
      </c>
      <c r="O58" s="313">
        <f>SUMIFS(Adjustments!$G:$G,Adjustments!$H:$H,"2M",Adjustments!$I:$I,'Schedule 2M Adjustments'!$N$12,Adjustments!$J:$J,'Schedule 2M Adjustments'!$A58)</f>
        <v>0</v>
      </c>
      <c r="P58" s="309">
        <f t="shared" si="3"/>
        <v>0</v>
      </c>
      <c r="Q58" s="68">
        <f>IFERROR(N58*'As-Filed Schedule 1'!$E$103,0)</f>
        <v>0</v>
      </c>
      <c r="R58" s="68">
        <f>IFERROR(P58*'Adjusted Schedule 1'!$E$104,0)</f>
        <v>0</v>
      </c>
      <c r="S58" s="68">
        <f t="shared" si="4"/>
        <v>0</v>
      </c>
      <c r="T58" s="310">
        <f t="shared" si="5"/>
        <v>0</v>
      </c>
      <c r="V58" s="120">
        <f>'As-Filed Schedule 2M'!N58</f>
        <v>0</v>
      </c>
      <c r="W58" s="313">
        <f>SUMIFS(Adjustments!$G:$G,Adjustments!$H:$H,"2M",Adjustments!$I:$I,'Schedule 2M Adjustments'!$V$12,Adjustments!$J:$J,'Schedule 2M Adjustments'!$A58)</f>
        <v>0</v>
      </c>
      <c r="X58" s="309">
        <f t="shared" si="6"/>
        <v>0</v>
      </c>
      <c r="Y58" s="120">
        <f>'As-Filed Schedule 2M'!O58</f>
        <v>0</v>
      </c>
      <c r="Z58" s="313">
        <f>SUMIFS(Adjustments!$G:$G,Adjustments!$H:$H,"2M",Adjustments!$I:$I,'Schedule 2M Adjustments'!$Y$12,Adjustments!$J:$J,'Schedule 2M Adjustments'!$A58)</f>
        <v>0</v>
      </c>
      <c r="AA58" s="309">
        <f t="shared" si="7"/>
        <v>0</v>
      </c>
    </row>
    <row r="59" spans="1:27" x14ac:dyDescent="0.35">
      <c r="A59" s="24">
        <v>45</v>
      </c>
      <c r="B59" s="507" t="str">
        <f>IF('As-Filed Schedule 2M'!B59:D59=0,"",'As-Filed Schedule 2M'!B59:D59)</f>
        <v/>
      </c>
      <c r="C59" s="507"/>
      <c r="D59" s="507"/>
      <c r="F59" s="117">
        <f>'As-Filed Schedule 2M'!F59</f>
        <v>0</v>
      </c>
      <c r="G59" s="313">
        <f>SUMIFS(Adjustments!$G:$G,Adjustments!$H:$H,"2M",Adjustments!$I:$I,'Schedule 2M Adjustments'!$F$12,Adjustments!$J:$J,'Schedule 2M Adjustments'!$A59)</f>
        <v>0</v>
      </c>
      <c r="H59" s="309">
        <f t="shared" si="0"/>
        <v>0</v>
      </c>
      <c r="I59" s="68">
        <f>IFERROR(F59*'As-Filed Schedule 1'!$E$103,0)</f>
        <v>0</v>
      </c>
      <c r="J59" s="310">
        <f>IFERROR(H59*'Adjusted Schedule 1'!$E$104,0)</f>
        <v>0</v>
      </c>
      <c r="K59" s="68">
        <f t="shared" si="1"/>
        <v>0</v>
      </c>
      <c r="L59" s="310">
        <f t="shared" si="2"/>
        <v>0</v>
      </c>
      <c r="N59" s="117">
        <f>'As-Filed Schedule 2M'!J59</f>
        <v>0</v>
      </c>
      <c r="O59" s="313">
        <f>SUMIFS(Adjustments!$G:$G,Adjustments!$H:$H,"2M",Adjustments!$I:$I,'Schedule 2M Adjustments'!$N$12,Adjustments!$J:$J,'Schedule 2M Adjustments'!$A59)</f>
        <v>0</v>
      </c>
      <c r="P59" s="309">
        <f t="shared" si="3"/>
        <v>0</v>
      </c>
      <c r="Q59" s="68">
        <f>IFERROR(N59*'As-Filed Schedule 1'!$E$103,0)</f>
        <v>0</v>
      </c>
      <c r="R59" s="68">
        <f>IFERROR(P59*'Adjusted Schedule 1'!$E$104,0)</f>
        <v>0</v>
      </c>
      <c r="S59" s="68">
        <f t="shared" si="4"/>
        <v>0</v>
      </c>
      <c r="T59" s="310">
        <f t="shared" si="5"/>
        <v>0</v>
      </c>
      <c r="V59" s="120">
        <f>'As-Filed Schedule 2M'!N59</f>
        <v>0</v>
      </c>
      <c r="W59" s="313">
        <f>SUMIFS(Adjustments!$G:$G,Adjustments!$H:$H,"2M",Adjustments!$I:$I,'Schedule 2M Adjustments'!$V$12,Adjustments!$J:$J,'Schedule 2M Adjustments'!$A59)</f>
        <v>0</v>
      </c>
      <c r="X59" s="309">
        <f t="shared" si="6"/>
        <v>0</v>
      </c>
      <c r="Y59" s="120">
        <f>'As-Filed Schedule 2M'!O59</f>
        <v>0</v>
      </c>
      <c r="Z59" s="313">
        <f>SUMIFS(Adjustments!$G:$G,Adjustments!$H:$H,"2M",Adjustments!$I:$I,'Schedule 2M Adjustments'!$Y$12,Adjustments!$J:$J,'Schedule 2M Adjustments'!$A59)</f>
        <v>0</v>
      </c>
      <c r="AA59" s="309">
        <f t="shared" si="7"/>
        <v>0</v>
      </c>
    </row>
    <row r="60" spans="1:27" x14ac:dyDescent="0.35">
      <c r="A60" s="24">
        <v>46</v>
      </c>
      <c r="B60" s="507" t="str">
        <f>IF('As-Filed Schedule 2M'!B60:D60=0,"",'As-Filed Schedule 2M'!B60:D60)</f>
        <v/>
      </c>
      <c r="C60" s="507"/>
      <c r="D60" s="507"/>
      <c r="F60" s="117">
        <f>'As-Filed Schedule 2M'!F60</f>
        <v>0</v>
      </c>
      <c r="G60" s="313">
        <f>SUMIFS(Adjustments!$G:$G,Adjustments!$H:$H,"2M",Adjustments!$I:$I,'Schedule 2M Adjustments'!$F$12,Adjustments!$J:$J,'Schedule 2M Adjustments'!$A60)</f>
        <v>0</v>
      </c>
      <c r="H60" s="309">
        <f t="shared" si="0"/>
        <v>0</v>
      </c>
      <c r="I60" s="68">
        <f>IFERROR(F60*'As-Filed Schedule 1'!$E$103,0)</f>
        <v>0</v>
      </c>
      <c r="J60" s="310">
        <f>IFERROR(H60*'Adjusted Schedule 1'!$E$104,0)</f>
        <v>0</v>
      </c>
      <c r="K60" s="68">
        <f t="shared" si="1"/>
        <v>0</v>
      </c>
      <c r="L60" s="310">
        <f t="shared" si="2"/>
        <v>0</v>
      </c>
      <c r="N60" s="117">
        <f>'As-Filed Schedule 2M'!J60</f>
        <v>0</v>
      </c>
      <c r="O60" s="313">
        <f>SUMIFS(Adjustments!$G:$G,Adjustments!$H:$H,"2M",Adjustments!$I:$I,'Schedule 2M Adjustments'!$N$12,Adjustments!$J:$J,'Schedule 2M Adjustments'!$A60)</f>
        <v>0</v>
      </c>
      <c r="P60" s="309">
        <f t="shared" si="3"/>
        <v>0</v>
      </c>
      <c r="Q60" s="68">
        <f>IFERROR(N60*'As-Filed Schedule 1'!$E$103,0)</f>
        <v>0</v>
      </c>
      <c r="R60" s="68">
        <f>IFERROR(P60*'Adjusted Schedule 1'!$E$104,0)</f>
        <v>0</v>
      </c>
      <c r="S60" s="68">
        <f t="shared" si="4"/>
        <v>0</v>
      </c>
      <c r="T60" s="310">
        <f t="shared" si="5"/>
        <v>0</v>
      </c>
      <c r="V60" s="120">
        <f>'As-Filed Schedule 2M'!N60</f>
        <v>0</v>
      </c>
      <c r="W60" s="313">
        <f>SUMIFS(Adjustments!$G:$G,Adjustments!$H:$H,"2M",Adjustments!$I:$I,'Schedule 2M Adjustments'!$V$12,Adjustments!$J:$J,'Schedule 2M Adjustments'!$A60)</f>
        <v>0</v>
      </c>
      <c r="X60" s="309">
        <f t="shared" si="6"/>
        <v>0</v>
      </c>
      <c r="Y60" s="120">
        <f>'As-Filed Schedule 2M'!O60</f>
        <v>0</v>
      </c>
      <c r="Z60" s="313">
        <f>SUMIFS(Adjustments!$G:$G,Adjustments!$H:$H,"2M",Adjustments!$I:$I,'Schedule 2M Adjustments'!$Y$12,Adjustments!$J:$J,'Schedule 2M Adjustments'!$A60)</f>
        <v>0</v>
      </c>
      <c r="AA60" s="309">
        <f t="shared" si="7"/>
        <v>0</v>
      </c>
    </row>
    <row r="61" spans="1:27" x14ac:dyDescent="0.35">
      <c r="A61" s="24">
        <v>47</v>
      </c>
      <c r="B61" s="507" t="str">
        <f>IF('As-Filed Schedule 2M'!B61:D61=0,"",'As-Filed Schedule 2M'!B61:D61)</f>
        <v/>
      </c>
      <c r="C61" s="507"/>
      <c r="D61" s="507"/>
      <c r="F61" s="117">
        <f>'As-Filed Schedule 2M'!F61</f>
        <v>0</v>
      </c>
      <c r="G61" s="313">
        <f>SUMIFS(Adjustments!$G:$G,Adjustments!$H:$H,"2M",Adjustments!$I:$I,'Schedule 2M Adjustments'!$F$12,Adjustments!$J:$J,'Schedule 2M Adjustments'!$A61)</f>
        <v>0</v>
      </c>
      <c r="H61" s="309">
        <f t="shared" si="0"/>
        <v>0</v>
      </c>
      <c r="I61" s="68">
        <f>IFERROR(F61*'As-Filed Schedule 1'!$E$103,0)</f>
        <v>0</v>
      </c>
      <c r="J61" s="310">
        <f>IFERROR(H61*'Adjusted Schedule 1'!$E$104,0)</f>
        <v>0</v>
      </c>
      <c r="K61" s="68">
        <f t="shared" si="1"/>
        <v>0</v>
      </c>
      <c r="L61" s="310">
        <f t="shared" si="2"/>
        <v>0</v>
      </c>
      <c r="N61" s="117">
        <f>'As-Filed Schedule 2M'!J61</f>
        <v>0</v>
      </c>
      <c r="O61" s="313">
        <f>SUMIFS(Adjustments!$G:$G,Adjustments!$H:$H,"2M",Adjustments!$I:$I,'Schedule 2M Adjustments'!$N$12,Adjustments!$J:$J,'Schedule 2M Adjustments'!$A61)</f>
        <v>0</v>
      </c>
      <c r="P61" s="309">
        <f t="shared" si="3"/>
        <v>0</v>
      </c>
      <c r="Q61" s="68">
        <f>IFERROR(N61*'As-Filed Schedule 1'!$E$103,0)</f>
        <v>0</v>
      </c>
      <c r="R61" s="68">
        <f>IFERROR(P61*'Adjusted Schedule 1'!$E$104,0)</f>
        <v>0</v>
      </c>
      <c r="S61" s="68">
        <f t="shared" si="4"/>
        <v>0</v>
      </c>
      <c r="T61" s="310">
        <f t="shared" si="5"/>
        <v>0</v>
      </c>
      <c r="V61" s="120">
        <f>'As-Filed Schedule 2M'!N61</f>
        <v>0</v>
      </c>
      <c r="W61" s="313">
        <f>SUMIFS(Adjustments!$G:$G,Adjustments!$H:$H,"2M",Adjustments!$I:$I,'Schedule 2M Adjustments'!$V$12,Adjustments!$J:$J,'Schedule 2M Adjustments'!$A61)</f>
        <v>0</v>
      </c>
      <c r="X61" s="309">
        <f t="shared" si="6"/>
        <v>0</v>
      </c>
      <c r="Y61" s="120">
        <f>'As-Filed Schedule 2M'!O61</f>
        <v>0</v>
      </c>
      <c r="Z61" s="313">
        <f>SUMIFS(Adjustments!$G:$G,Adjustments!$H:$H,"2M",Adjustments!$I:$I,'Schedule 2M Adjustments'!$Y$12,Adjustments!$J:$J,'Schedule 2M Adjustments'!$A61)</f>
        <v>0</v>
      </c>
      <c r="AA61" s="309">
        <f t="shared" si="7"/>
        <v>0</v>
      </c>
    </row>
    <row r="62" spans="1:27" x14ac:dyDescent="0.35">
      <c r="A62" s="24">
        <v>48</v>
      </c>
      <c r="B62" s="507" t="str">
        <f>IF('As-Filed Schedule 2M'!B62:D62=0,"",'As-Filed Schedule 2M'!B62:D62)</f>
        <v/>
      </c>
      <c r="C62" s="507"/>
      <c r="D62" s="507"/>
      <c r="F62" s="117">
        <f>'As-Filed Schedule 2M'!F62</f>
        <v>0</v>
      </c>
      <c r="G62" s="313">
        <f>SUMIFS(Adjustments!$G:$G,Adjustments!$H:$H,"2M",Adjustments!$I:$I,'Schedule 2M Adjustments'!$F$12,Adjustments!$J:$J,'Schedule 2M Adjustments'!$A62)</f>
        <v>0</v>
      </c>
      <c r="H62" s="309">
        <f t="shared" si="0"/>
        <v>0</v>
      </c>
      <c r="I62" s="68">
        <f>IFERROR(F62*'As-Filed Schedule 1'!$E$103,0)</f>
        <v>0</v>
      </c>
      <c r="J62" s="310">
        <f>IFERROR(H62*'Adjusted Schedule 1'!$E$104,0)</f>
        <v>0</v>
      </c>
      <c r="K62" s="68">
        <f t="shared" si="1"/>
        <v>0</v>
      </c>
      <c r="L62" s="310">
        <f t="shared" si="2"/>
        <v>0</v>
      </c>
      <c r="N62" s="117">
        <f>'As-Filed Schedule 2M'!J62</f>
        <v>0</v>
      </c>
      <c r="O62" s="313">
        <f>SUMIFS(Adjustments!$G:$G,Adjustments!$H:$H,"2M",Adjustments!$I:$I,'Schedule 2M Adjustments'!$N$12,Adjustments!$J:$J,'Schedule 2M Adjustments'!$A62)</f>
        <v>0</v>
      </c>
      <c r="P62" s="309">
        <f t="shared" si="3"/>
        <v>0</v>
      </c>
      <c r="Q62" s="68">
        <f>IFERROR(N62*'As-Filed Schedule 1'!$E$103,0)</f>
        <v>0</v>
      </c>
      <c r="R62" s="68">
        <f>IFERROR(P62*'Adjusted Schedule 1'!$E$104,0)</f>
        <v>0</v>
      </c>
      <c r="S62" s="68">
        <f t="shared" si="4"/>
        <v>0</v>
      </c>
      <c r="T62" s="310">
        <f t="shared" si="5"/>
        <v>0</v>
      </c>
      <c r="V62" s="120">
        <f>'As-Filed Schedule 2M'!N62</f>
        <v>0</v>
      </c>
      <c r="W62" s="313">
        <f>SUMIFS(Adjustments!$G:$G,Adjustments!$H:$H,"2M",Adjustments!$I:$I,'Schedule 2M Adjustments'!$V$12,Adjustments!$J:$J,'Schedule 2M Adjustments'!$A62)</f>
        <v>0</v>
      </c>
      <c r="X62" s="309">
        <f t="shared" si="6"/>
        <v>0</v>
      </c>
      <c r="Y62" s="120">
        <f>'As-Filed Schedule 2M'!O62</f>
        <v>0</v>
      </c>
      <c r="Z62" s="313">
        <f>SUMIFS(Adjustments!$G:$G,Adjustments!$H:$H,"2M",Adjustments!$I:$I,'Schedule 2M Adjustments'!$Y$12,Adjustments!$J:$J,'Schedule 2M Adjustments'!$A62)</f>
        <v>0</v>
      </c>
      <c r="AA62" s="309">
        <f t="shared" si="7"/>
        <v>0</v>
      </c>
    </row>
    <row r="63" spans="1:27" x14ac:dyDescent="0.35">
      <c r="A63" s="24">
        <v>49</v>
      </c>
      <c r="B63" s="507" t="str">
        <f>IF('As-Filed Schedule 2M'!B63:D63=0,"",'As-Filed Schedule 2M'!B63:D63)</f>
        <v/>
      </c>
      <c r="C63" s="507"/>
      <c r="D63" s="507"/>
      <c r="F63" s="117">
        <f>'As-Filed Schedule 2M'!F63</f>
        <v>0</v>
      </c>
      <c r="G63" s="313">
        <f>SUMIFS(Adjustments!$G:$G,Adjustments!$H:$H,"2M",Adjustments!$I:$I,'Schedule 2M Adjustments'!$F$12,Adjustments!$J:$J,'Schedule 2M Adjustments'!$A63)</f>
        <v>0</v>
      </c>
      <c r="H63" s="309">
        <f t="shared" si="0"/>
        <v>0</v>
      </c>
      <c r="I63" s="68">
        <f>IFERROR(F63*'As-Filed Schedule 1'!$E$103,0)</f>
        <v>0</v>
      </c>
      <c r="J63" s="310">
        <f>IFERROR(H63*'Adjusted Schedule 1'!$E$104,0)</f>
        <v>0</v>
      </c>
      <c r="K63" s="68">
        <f t="shared" si="1"/>
        <v>0</v>
      </c>
      <c r="L63" s="310">
        <f t="shared" si="2"/>
        <v>0</v>
      </c>
      <c r="N63" s="117">
        <f>'As-Filed Schedule 2M'!J63</f>
        <v>0</v>
      </c>
      <c r="O63" s="313">
        <f>SUMIFS(Adjustments!$G:$G,Adjustments!$H:$H,"2M",Adjustments!$I:$I,'Schedule 2M Adjustments'!$N$12,Adjustments!$J:$J,'Schedule 2M Adjustments'!$A63)</f>
        <v>0</v>
      </c>
      <c r="P63" s="309">
        <f t="shared" si="3"/>
        <v>0</v>
      </c>
      <c r="Q63" s="68">
        <f>IFERROR(N63*'As-Filed Schedule 1'!$E$103,0)</f>
        <v>0</v>
      </c>
      <c r="R63" s="68">
        <f>IFERROR(P63*'Adjusted Schedule 1'!$E$104,0)</f>
        <v>0</v>
      </c>
      <c r="S63" s="68">
        <f t="shared" si="4"/>
        <v>0</v>
      </c>
      <c r="T63" s="310">
        <f t="shared" si="5"/>
        <v>0</v>
      </c>
      <c r="V63" s="120">
        <f>'As-Filed Schedule 2M'!N63</f>
        <v>0</v>
      </c>
      <c r="W63" s="313">
        <f>SUMIFS(Adjustments!$G:$G,Adjustments!$H:$H,"2M",Adjustments!$I:$I,'Schedule 2M Adjustments'!$V$12,Adjustments!$J:$J,'Schedule 2M Adjustments'!$A63)</f>
        <v>0</v>
      </c>
      <c r="X63" s="309">
        <f t="shared" si="6"/>
        <v>0</v>
      </c>
      <c r="Y63" s="120">
        <f>'As-Filed Schedule 2M'!O63</f>
        <v>0</v>
      </c>
      <c r="Z63" s="313">
        <f>SUMIFS(Adjustments!$G:$G,Adjustments!$H:$H,"2M",Adjustments!$I:$I,'Schedule 2M Adjustments'!$Y$12,Adjustments!$J:$J,'Schedule 2M Adjustments'!$A63)</f>
        <v>0</v>
      </c>
      <c r="AA63" s="309">
        <f t="shared" si="7"/>
        <v>0</v>
      </c>
    </row>
    <row r="64" spans="1:27" x14ac:dyDescent="0.35">
      <c r="A64" s="24">
        <v>50</v>
      </c>
      <c r="B64" s="507" t="str">
        <f>IF('As-Filed Schedule 2M'!B64:D64=0,"",'As-Filed Schedule 2M'!B64:D64)</f>
        <v/>
      </c>
      <c r="C64" s="507"/>
      <c r="D64" s="507"/>
      <c r="F64" s="117">
        <f>'As-Filed Schedule 2M'!F64</f>
        <v>0</v>
      </c>
      <c r="G64" s="313">
        <f>SUMIFS(Adjustments!$G:$G,Adjustments!$H:$H,"2M",Adjustments!$I:$I,'Schedule 2M Adjustments'!$F$12,Adjustments!$J:$J,'Schedule 2M Adjustments'!$A64)</f>
        <v>0</v>
      </c>
      <c r="H64" s="309">
        <f t="shared" si="0"/>
        <v>0</v>
      </c>
      <c r="I64" s="68">
        <f>IFERROR(F64*'As-Filed Schedule 1'!$E$103,0)</f>
        <v>0</v>
      </c>
      <c r="J64" s="310">
        <f>IFERROR(H64*'Adjusted Schedule 1'!$E$104,0)</f>
        <v>0</v>
      </c>
      <c r="K64" s="68">
        <f t="shared" si="1"/>
        <v>0</v>
      </c>
      <c r="L64" s="310">
        <f t="shared" si="2"/>
        <v>0</v>
      </c>
      <c r="N64" s="117">
        <f>'As-Filed Schedule 2M'!J64</f>
        <v>0</v>
      </c>
      <c r="O64" s="313">
        <f>SUMIFS(Adjustments!$G:$G,Adjustments!$H:$H,"2M",Adjustments!$I:$I,'Schedule 2M Adjustments'!$N$12,Adjustments!$J:$J,'Schedule 2M Adjustments'!$A64)</f>
        <v>0</v>
      </c>
      <c r="P64" s="309">
        <f t="shared" si="3"/>
        <v>0</v>
      </c>
      <c r="Q64" s="68">
        <f>IFERROR(N64*'As-Filed Schedule 1'!$E$103,0)</f>
        <v>0</v>
      </c>
      <c r="R64" s="68">
        <f>IFERROR(P64*'Adjusted Schedule 1'!$E$104,0)</f>
        <v>0</v>
      </c>
      <c r="S64" s="68">
        <f t="shared" si="4"/>
        <v>0</v>
      </c>
      <c r="T64" s="310">
        <f t="shared" si="5"/>
        <v>0</v>
      </c>
      <c r="V64" s="120">
        <f>'As-Filed Schedule 2M'!N64</f>
        <v>0</v>
      </c>
      <c r="W64" s="313">
        <f>SUMIFS(Adjustments!$G:$G,Adjustments!$H:$H,"2M",Adjustments!$I:$I,'Schedule 2M Adjustments'!$V$12,Adjustments!$J:$J,'Schedule 2M Adjustments'!$A64)</f>
        <v>0</v>
      </c>
      <c r="X64" s="309">
        <f t="shared" si="6"/>
        <v>0</v>
      </c>
      <c r="Y64" s="120">
        <f>'As-Filed Schedule 2M'!O64</f>
        <v>0</v>
      </c>
      <c r="Z64" s="313">
        <f>SUMIFS(Adjustments!$G:$G,Adjustments!$H:$H,"2M",Adjustments!$I:$I,'Schedule 2M Adjustments'!$Y$12,Adjustments!$J:$J,'Schedule 2M Adjustments'!$A64)</f>
        <v>0</v>
      </c>
      <c r="AA64" s="309">
        <f t="shared" si="7"/>
        <v>0</v>
      </c>
    </row>
    <row r="65" spans="1:27" x14ac:dyDescent="0.35">
      <c r="A65" s="24">
        <v>51</v>
      </c>
      <c r="B65" s="507" t="str">
        <f>IF('As-Filed Schedule 2M'!B65:D65=0,"",'As-Filed Schedule 2M'!B65:D65)</f>
        <v/>
      </c>
      <c r="C65" s="507"/>
      <c r="D65" s="507"/>
      <c r="F65" s="117">
        <f>'As-Filed Schedule 2M'!F65</f>
        <v>0</v>
      </c>
      <c r="G65" s="313">
        <f>SUMIFS(Adjustments!$G:$G,Adjustments!$H:$H,"2M",Adjustments!$I:$I,'Schedule 2M Adjustments'!$F$12,Adjustments!$J:$J,'Schedule 2M Adjustments'!$A65)</f>
        <v>0</v>
      </c>
      <c r="H65" s="309">
        <f t="shared" si="0"/>
        <v>0</v>
      </c>
      <c r="I65" s="68">
        <f>IFERROR(F65*'As-Filed Schedule 1'!$E$103,0)</f>
        <v>0</v>
      </c>
      <c r="J65" s="310">
        <f>IFERROR(H65*'Adjusted Schedule 1'!$E$104,0)</f>
        <v>0</v>
      </c>
      <c r="K65" s="68">
        <f t="shared" si="1"/>
        <v>0</v>
      </c>
      <c r="L65" s="310">
        <f t="shared" si="2"/>
        <v>0</v>
      </c>
      <c r="N65" s="117">
        <f>'As-Filed Schedule 2M'!J65</f>
        <v>0</v>
      </c>
      <c r="O65" s="313">
        <f>SUMIFS(Adjustments!$G:$G,Adjustments!$H:$H,"2M",Adjustments!$I:$I,'Schedule 2M Adjustments'!$N$12,Adjustments!$J:$J,'Schedule 2M Adjustments'!$A65)</f>
        <v>0</v>
      </c>
      <c r="P65" s="309">
        <f t="shared" si="3"/>
        <v>0</v>
      </c>
      <c r="Q65" s="68">
        <f>IFERROR(N65*'As-Filed Schedule 1'!$E$103,0)</f>
        <v>0</v>
      </c>
      <c r="R65" s="68">
        <f>IFERROR(P65*'Adjusted Schedule 1'!$E$104,0)</f>
        <v>0</v>
      </c>
      <c r="S65" s="68">
        <f t="shared" si="4"/>
        <v>0</v>
      </c>
      <c r="T65" s="310">
        <f t="shared" si="5"/>
        <v>0</v>
      </c>
      <c r="V65" s="120">
        <f>'As-Filed Schedule 2M'!N65</f>
        <v>0</v>
      </c>
      <c r="W65" s="313">
        <f>SUMIFS(Adjustments!$G:$G,Adjustments!$H:$H,"2M",Adjustments!$I:$I,'Schedule 2M Adjustments'!$V$12,Adjustments!$J:$J,'Schedule 2M Adjustments'!$A65)</f>
        <v>0</v>
      </c>
      <c r="X65" s="309">
        <f t="shared" si="6"/>
        <v>0</v>
      </c>
      <c r="Y65" s="120">
        <f>'As-Filed Schedule 2M'!O65</f>
        <v>0</v>
      </c>
      <c r="Z65" s="313">
        <f>SUMIFS(Adjustments!$G:$G,Adjustments!$H:$H,"2M",Adjustments!$I:$I,'Schedule 2M Adjustments'!$Y$12,Adjustments!$J:$J,'Schedule 2M Adjustments'!$A65)</f>
        <v>0</v>
      </c>
      <c r="AA65" s="309">
        <f t="shared" si="7"/>
        <v>0</v>
      </c>
    </row>
    <row r="66" spans="1:27" x14ac:dyDescent="0.35">
      <c r="A66" s="24">
        <v>52</v>
      </c>
      <c r="B66" s="507" t="str">
        <f>IF('As-Filed Schedule 2M'!B66:D66=0,"",'As-Filed Schedule 2M'!B66:D66)</f>
        <v/>
      </c>
      <c r="C66" s="507"/>
      <c r="D66" s="507"/>
      <c r="F66" s="117">
        <f>'As-Filed Schedule 2M'!F66</f>
        <v>0</v>
      </c>
      <c r="G66" s="313">
        <f>SUMIFS(Adjustments!$G:$G,Adjustments!$H:$H,"2M",Adjustments!$I:$I,'Schedule 2M Adjustments'!$F$12,Adjustments!$J:$J,'Schedule 2M Adjustments'!$A66)</f>
        <v>0</v>
      </c>
      <c r="H66" s="309">
        <f t="shared" si="0"/>
        <v>0</v>
      </c>
      <c r="I66" s="68">
        <f>IFERROR(F66*'As-Filed Schedule 1'!$E$103,0)</f>
        <v>0</v>
      </c>
      <c r="J66" s="310">
        <f>IFERROR(H66*'Adjusted Schedule 1'!$E$104,0)</f>
        <v>0</v>
      </c>
      <c r="K66" s="68">
        <f t="shared" si="1"/>
        <v>0</v>
      </c>
      <c r="L66" s="310">
        <f t="shared" si="2"/>
        <v>0</v>
      </c>
      <c r="N66" s="117">
        <f>'As-Filed Schedule 2M'!J66</f>
        <v>0</v>
      </c>
      <c r="O66" s="313">
        <f>SUMIFS(Adjustments!$G:$G,Adjustments!$H:$H,"2M",Adjustments!$I:$I,'Schedule 2M Adjustments'!$N$12,Adjustments!$J:$J,'Schedule 2M Adjustments'!$A66)</f>
        <v>0</v>
      </c>
      <c r="P66" s="309">
        <f t="shared" si="3"/>
        <v>0</v>
      </c>
      <c r="Q66" s="68">
        <f>IFERROR(N66*'As-Filed Schedule 1'!$E$103,0)</f>
        <v>0</v>
      </c>
      <c r="R66" s="68">
        <f>IFERROR(P66*'Adjusted Schedule 1'!$E$104,0)</f>
        <v>0</v>
      </c>
      <c r="S66" s="68">
        <f t="shared" si="4"/>
        <v>0</v>
      </c>
      <c r="T66" s="310">
        <f t="shared" si="5"/>
        <v>0</v>
      </c>
      <c r="V66" s="120">
        <f>'As-Filed Schedule 2M'!N66</f>
        <v>0</v>
      </c>
      <c r="W66" s="313">
        <f>SUMIFS(Adjustments!$G:$G,Adjustments!$H:$H,"2M",Adjustments!$I:$I,'Schedule 2M Adjustments'!$V$12,Adjustments!$J:$J,'Schedule 2M Adjustments'!$A66)</f>
        <v>0</v>
      </c>
      <c r="X66" s="309">
        <f t="shared" si="6"/>
        <v>0</v>
      </c>
      <c r="Y66" s="120">
        <f>'As-Filed Schedule 2M'!O66</f>
        <v>0</v>
      </c>
      <c r="Z66" s="313">
        <f>SUMIFS(Adjustments!$G:$G,Adjustments!$H:$H,"2M",Adjustments!$I:$I,'Schedule 2M Adjustments'!$Y$12,Adjustments!$J:$J,'Schedule 2M Adjustments'!$A66)</f>
        <v>0</v>
      </c>
      <c r="AA66" s="309">
        <f t="shared" si="7"/>
        <v>0</v>
      </c>
    </row>
    <row r="67" spans="1:27" x14ac:dyDescent="0.35">
      <c r="A67" s="24">
        <v>53</v>
      </c>
      <c r="B67" s="507" t="str">
        <f>IF('As-Filed Schedule 2M'!B67:D67=0,"",'As-Filed Schedule 2M'!B67:D67)</f>
        <v/>
      </c>
      <c r="C67" s="507"/>
      <c r="D67" s="507"/>
      <c r="F67" s="117">
        <f>'As-Filed Schedule 2M'!F67</f>
        <v>0</v>
      </c>
      <c r="G67" s="313">
        <f>SUMIFS(Adjustments!$G:$G,Adjustments!$H:$H,"2M",Adjustments!$I:$I,'Schedule 2M Adjustments'!$F$12,Adjustments!$J:$J,'Schedule 2M Adjustments'!$A67)</f>
        <v>0</v>
      </c>
      <c r="H67" s="309">
        <f t="shared" si="0"/>
        <v>0</v>
      </c>
      <c r="I67" s="68">
        <f>IFERROR(F67*'As-Filed Schedule 1'!$E$103,0)</f>
        <v>0</v>
      </c>
      <c r="J67" s="310">
        <f>IFERROR(H67*'Adjusted Schedule 1'!$E$104,0)</f>
        <v>0</v>
      </c>
      <c r="K67" s="68">
        <f t="shared" si="1"/>
        <v>0</v>
      </c>
      <c r="L67" s="310">
        <f t="shared" si="2"/>
        <v>0</v>
      </c>
      <c r="N67" s="117">
        <f>'As-Filed Schedule 2M'!J67</f>
        <v>0</v>
      </c>
      <c r="O67" s="313">
        <f>SUMIFS(Adjustments!$G:$G,Adjustments!$H:$H,"2M",Adjustments!$I:$I,'Schedule 2M Adjustments'!$N$12,Adjustments!$J:$J,'Schedule 2M Adjustments'!$A67)</f>
        <v>0</v>
      </c>
      <c r="P67" s="309">
        <f t="shared" si="3"/>
        <v>0</v>
      </c>
      <c r="Q67" s="68">
        <f>IFERROR(N67*'As-Filed Schedule 1'!$E$103,0)</f>
        <v>0</v>
      </c>
      <c r="R67" s="68">
        <f>IFERROR(P67*'Adjusted Schedule 1'!$E$104,0)</f>
        <v>0</v>
      </c>
      <c r="S67" s="68">
        <f t="shared" si="4"/>
        <v>0</v>
      </c>
      <c r="T67" s="310">
        <f t="shared" si="5"/>
        <v>0</v>
      </c>
      <c r="V67" s="120">
        <f>'As-Filed Schedule 2M'!N67</f>
        <v>0</v>
      </c>
      <c r="W67" s="313">
        <f>SUMIFS(Adjustments!$G:$G,Adjustments!$H:$H,"2M",Adjustments!$I:$I,'Schedule 2M Adjustments'!$V$12,Adjustments!$J:$J,'Schedule 2M Adjustments'!$A67)</f>
        <v>0</v>
      </c>
      <c r="X67" s="309">
        <f t="shared" si="6"/>
        <v>0</v>
      </c>
      <c r="Y67" s="120">
        <f>'As-Filed Schedule 2M'!O67</f>
        <v>0</v>
      </c>
      <c r="Z67" s="313">
        <f>SUMIFS(Adjustments!$G:$G,Adjustments!$H:$H,"2M",Adjustments!$I:$I,'Schedule 2M Adjustments'!$Y$12,Adjustments!$J:$J,'Schedule 2M Adjustments'!$A67)</f>
        <v>0</v>
      </c>
      <c r="AA67" s="309">
        <f t="shared" si="7"/>
        <v>0</v>
      </c>
    </row>
    <row r="68" spans="1:27" x14ac:dyDescent="0.35">
      <c r="A68" s="24">
        <v>54</v>
      </c>
      <c r="B68" s="507" t="str">
        <f>IF('As-Filed Schedule 2M'!B68:D68=0,"",'As-Filed Schedule 2M'!B68:D68)</f>
        <v/>
      </c>
      <c r="C68" s="507"/>
      <c r="D68" s="507"/>
      <c r="F68" s="117">
        <f>'As-Filed Schedule 2M'!F68</f>
        <v>0</v>
      </c>
      <c r="G68" s="313">
        <f>SUMIFS(Adjustments!$G:$G,Adjustments!$H:$H,"2M",Adjustments!$I:$I,'Schedule 2M Adjustments'!$F$12,Adjustments!$J:$J,'Schedule 2M Adjustments'!$A68)</f>
        <v>0</v>
      </c>
      <c r="H68" s="309">
        <f t="shared" si="0"/>
        <v>0</v>
      </c>
      <c r="I68" s="68">
        <f>IFERROR(F68*'As-Filed Schedule 1'!$E$103,0)</f>
        <v>0</v>
      </c>
      <c r="J68" s="310">
        <f>IFERROR(H68*'Adjusted Schedule 1'!$E$104,0)</f>
        <v>0</v>
      </c>
      <c r="K68" s="68">
        <f t="shared" si="1"/>
        <v>0</v>
      </c>
      <c r="L68" s="310">
        <f t="shared" si="2"/>
        <v>0</v>
      </c>
      <c r="N68" s="117">
        <f>'As-Filed Schedule 2M'!J68</f>
        <v>0</v>
      </c>
      <c r="O68" s="313">
        <f>SUMIFS(Adjustments!$G:$G,Adjustments!$H:$H,"2M",Adjustments!$I:$I,'Schedule 2M Adjustments'!$N$12,Adjustments!$J:$J,'Schedule 2M Adjustments'!$A68)</f>
        <v>0</v>
      </c>
      <c r="P68" s="309">
        <f t="shared" si="3"/>
        <v>0</v>
      </c>
      <c r="Q68" s="68">
        <f>IFERROR(N68*'As-Filed Schedule 1'!$E$103,0)</f>
        <v>0</v>
      </c>
      <c r="R68" s="68">
        <f>IFERROR(P68*'Adjusted Schedule 1'!$E$104,0)</f>
        <v>0</v>
      </c>
      <c r="S68" s="68">
        <f t="shared" si="4"/>
        <v>0</v>
      </c>
      <c r="T68" s="310">
        <f t="shared" si="5"/>
        <v>0</v>
      </c>
      <c r="V68" s="120">
        <f>'As-Filed Schedule 2M'!N68</f>
        <v>0</v>
      </c>
      <c r="W68" s="313">
        <f>SUMIFS(Adjustments!$G:$G,Adjustments!$H:$H,"2M",Adjustments!$I:$I,'Schedule 2M Adjustments'!$V$12,Adjustments!$J:$J,'Schedule 2M Adjustments'!$A68)</f>
        <v>0</v>
      </c>
      <c r="X68" s="309">
        <f t="shared" si="6"/>
        <v>0</v>
      </c>
      <c r="Y68" s="120">
        <f>'As-Filed Schedule 2M'!O68</f>
        <v>0</v>
      </c>
      <c r="Z68" s="313">
        <f>SUMIFS(Adjustments!$G:$G,Adjustments!$H:$H,"2M",Adjustments!$I:$I,'Schedule 2M Adjustments'!$Y$12,Adjustments!$J:$J,'Schedule 2M Adjustments'!$A68)</f>
        <v>0</v>
      </c>
      <c r="AA68" s="309">
        <f t="shared" si="7"/>
        <v>0</v>
      </c>
    </row>
    <row r="69" spans="1:27" x14ac:dyDescent="0.35">
      <c r="A69" s="24">
        <v>55</v>
      </c>
      <c r="B69" s="507" t="str">
        <f>IF('As-Filed Schedule 2M'!B69:D69=0,"",'As-Filed Schedule 2M'!B69:D69)</f>
        <v/>
      </c>
      <c r="C69" s="507"/>
      <c r="D69" s="507"/>
      <c r="F69" s="117">
        <f>'As-Filed Schedule 2M'!F69</f>
        <v>0</v>
      </c>
      <c r="G69" s="313">
        <f>SUMIFS(Adjustments!$G:$G,Adjustments!$H:$H,"2M",Adjustments!$I:$I,'Schedule 2M Adjustments'!$F$12,Adjustments!$J:$J,'Schedule 2M Adjustments'!$A69)</f>
        <v>0</v>
      </c>
      <c r="H69" s="309">
        <f t="shared" si="0"/>
        <v>0</v>
      </c>
      <c r="I69" s="68">
        <f>IFERROR(F69*'As-Filed Schedule 1'!$E$103,0)</f>
        <v>0</v>
      </c>
      <c r="J69" s="310">
        <f>IFERROR(H69*'Adjusted Schedule 1'!$E$104,0)</f>
        <v>0</v>
      </c>
      <c r="K69" s="68">
        <f t="shared" si="1"/>
        <v>0</v>
      </c>
      <c r="L69" s="310">
        <f t="shared" si="2"/>
        <v>0</v>
      </c>
      <c r="N69" s="117">
        <f>'As-Filed Schedule 2M'!J69</f>
        <v>0</v>
      </c>
      <c r="O69" s="313">
        <f>SUMIFS(Adjustments!$G:$G,Adjustments!$H:$H,"2M",Adjustments!$I:$I,'Schedule 2M Adjustments'!$N$12,Adjustments!$J:$J,'Schedule 2M Adjustments'!$A69)</f>
        <v>0</v>
      </c>
      <c r="P69" s="309">
        <f t="shared" si="3"/>
        <v>0</v>
      </c>
      <c r="Q69" s="68">
        <f>IFERROR(N69*'As-Filed Schedule 1'!$E$103,0)</f>
        <v>0</v>
      </c>
      <c r="R69" s="68">
        <f>IFERROR(P69*'Adjusted Schedule 1'!$E$104,0)</f>
        <v>0</v>
      </c>
      <c r="S69" s="68">
        <f t="shared" si="4"/>
        <v>0</v>
      </c>
      <c r="T69" s="310">
        <f t="shared" si="5"/>
        <v>0</v>
      </c>
      <c r="V69" s="120">
        <f>'As-Filed Schedule 2M'!N69</f>
        <v>0</v>
      </c>
      <c r="W69" s="313">
        <f>SUMIFS(Adjustments!$G:$G,Adjustments!$H:$H,"2M",Adjustments!$I:$I,'Schedule 2M Adjustments'!$V$12,Adjustments!$J:$J,'Schedule 2M Adjustments'!$A69)</f>
        <v>0</v>
      </c>
      <c r="X69" s="309">
        <f t="shared" si="6"/>
        <v>0</v>
      </c>
      <c r="Y69" s="120">
        <f>'As-Filed Schedule 2M'!O69</f>
        <v>0</v>
      </c>
      <c r="Z69" s="313">
        <f>SUMIFS(Adjustments!$G:$G,Adjustments!$H:$H,"2M",Adjustments!$I:$I,'Schedule 2M Adjustments'!$Y$12,Adjustments!$J:$J,'Schedule 2M Adjustments'!$A69)</f>
        <v>0</v>
      </c>
      <c r="AA69" s="309">
        <f t="shared" si="7"/>
        <v>0</v>
      </c>
    </row>
    <row r="70" spans="1:27" x14ac:dyDescent="0.35">
      <c r="A70" s="24">
        <v>56</v>
      </c>
      <c r="B70" s="507" t="str">
        <f>IF('As-Filed Schedule 2M'!B70:D70=0,"",'As-Filed Schedule 2M'!B70:D70)</f>
        <v/>
      </c>
      <c r="C70" s="507"/>
      <c r="D70" s="507"/>
      <c r="F70" s="117">
        <f>'As-Filed Schedule 2M'!F70</f>
        <v>0</v>
      </c>
      <c r="G70" s="313">
        <f>SUMIFS(Adjustments!$G:$G,Adjustments!$H:$H,"2M",Adjustments!$I:$I,'Schedule 2M Adjustments'!$F$12,Adjustments!$J:$J,'Schedule 2M Adjustments'!$A70)</f>
        <v>0</v>
      </c>
      <c r="H70" s="309">
        <f t="shared" si="0"/>
        <v>0</v>
      </c>
      <c r="I70" s="68">
        <f>IFERROR(F70*'As-Filed Schedule 1'!$E$103,0)</f>
        <v>0</v>
      </c>
      <c r="J70" s="310">
        <f>IFERROR(H70*'Adjusted Schedule 1'!$E$104,0)</f>
        <v>0</v>
      </c>
      <c r="K70" s="68">
        <f t="shared" si="1"/>
        <v>0</v>
      </c>
      <c r="L70" s="310">
        <f t="shared" si="2"/>
        <v>0</v>
      </c>
      <c r="N70" s="117">
        <f>'As-Filed Schedule 2M'!J70</f>
        <v>0</v>
      </c>
      <c r="O70" s="313">
        <f>SUMIFS(Adjustments!$G:$G,Adjustments!$H:$H,"2M",Adjustments!$I:$I,'Schedule 2M Adjustments'!$N$12,Adjustments!$J:$J,'Schedule 2M Adjustments'!$A70)</f>
        <v>0</v>
      </c>
      <c r="P70" s="309">
        <f t="shared" si="3"/>
        <v>0</v>
      </c>
      <c r="Q70" s="68">
        <f>IFERROR(N70*'As-Filed Schedule 1'!$E$103,0)</f>
        <v>0</v>
      </c>
      <c r="R70" s="68">
        <f>IFERROR(P70*'Adjusted Schedule 1'!$E$104,0)</f>
        <v>0</v>
      </c>
      <c r="S70" s="68">
        <f t="shared" si="4"/>
        <v>0</v>
      </c>
      <c r="T70" s="310">
        <f t="shared" si="5"/>
        <v>0</v>
      </c>
      <c r="V70" s="120">
        <f>'As-Filed Schedule 2M'!N70</f>
        <v>0</v>
      </c>
      <c r="W70" s="313">
        <f>SUMIFS(Adjustments!$G:$G,Adjustments!$H:$H,"2M",Adjustments!$I:$I,'Schedule 2M Adjustments'!$V$12,Adjustments!$J:$J,'Schedule 2M Adjustments'!$A70)</f>
        <v>0</v>
      </c>
      <c r="X70" s="309">
        <f t="shared" si="6"/>
        <v>0</v>
      </c>
      <c r="Y70" s="120">
        <f>'As-Filed Schedule 2M'!O70</f>
        <v>0</v>
      </c>
      <c r="Z70" s="313">
        <f>SUMIFS(Adjustments!$G:$G,Adjustments!$H:$H,"2M",Adjustments!$I:$I,'Schedule 2M Adjustments'!$Y$12,Adjustments!$J:$J,'Schedule 2M Adjustments'!$A70)</f>
        <v>0</v>
      </c>
      <c r="AA70" s="309">
        <f t="shared" si="7"/>
        <v>0</v>
      </c>
    </row>
    <row r="71" spans="1:27" x14ac:dyDescent="0.35">
      <c r="A71" s="24">
        <v>57</v>
      </c>
      <c r="B71" s="507" t="str">
        <f>IF('As-Filed Schedule 2M'!B71:D71=0,"",'As-Filed Schedule 2M'!B71:D71)</f>
        <v/>
      </c>
      <c r="C71" s="507"/>
      <c r="D71" s="507"/>
      <c r="F71" s="117">
        <f>'As-Filed Schedule 2M'!F71</f>
        <v>0</v>
      </c>
      <c r="G71" s="313">
        <f>SUMIFS(Adjustments!$G:$G,Adjustments!$H:$H,"2M",Adjustments!$I:$I,'Schedule 2M Adjustments'!$F$12,Adjustments!$J:$J,'Schedule 2M Adjustments'!$A71)</f>
        <v>0</v>
      </c>
      <c r="H71" s="309">
        <f t="shared" si="0"/>
        <v>0</v>
      </c>
      <c r="I71" s="68">
        <f>IFERROR(F71*'As-Filed Schedule 1'!$E$103,0)</f>
        <v>0</v>
      </c>
      <c r="J71" s="310">
        <f>IFERROR(H71*'Adjusted Schedule 1'!$E$104,0)</f>
        <v>0</v>
      </c>
      <c r="K71" s="68">
        <f t="shared" si="1"/>
        <v>0</v>
      </c>
      <c r="L71" s="310">
        <f t="shared" si="2"/>
        <v>0</v>
      </c>
      <c r="N71" s="117">
        <f>'As-Filed Schedule 2M'!J71</f>
        <v>0</v>
      </c>
      <c r="O71" s="313">
        <f>SUMIFS(Adjustments!$G:$G,Adjustments!$H:$H,"2M",Adjustments!$I:$I,'Schedule 2M Adjustments'!$N$12,Adjustments!$J:$J,'Schedule 2M Adjustments'!$A71)</f>
        <v>0</v>
      </c>
      <c r="P71" s="309">
        <f t="shared" si="3"/>
        <v>0</v>
      </c>
      <c r="Q71" s="68">
        <f>IFERROR(N71*'As-Filed Schedule 1'!$E$103,0)</f>
        <v>0</v>
      </c>
      <c r="R71" s="68">
        <f>IFERROR(P71*'Adjusted Schedule 1'!$E$104,0)</f>
        <v>0</v>
      </c>
      <c r="S71" s="68">
        <f t="shared" si="4"/>
        <v>0</v>
      </c>
      <c r="T71" s="310">
        <f t="shared" si="5"/>
        <v>0</v>
      </c>
      <c r="V71" s="120">
        <f>'As-Filed Schedule 2M'!N71</f>
        <v>0</v>
      </c>
      <c r="W71" s="313">
        <f>SUMIFS(Adjustments!$G:$G,Adjustments!$H:$H,"2M",Adjustments!$I:$I,'Schedule 2M Adjustments'!$V$12,Adjustments!$J:$J,'Schedule 2M Adjustments'!$A71)</f>
        <v>0</v>
      </c>
      <c r="X71" s="309">
        <f t="shared" si="6"/>
        <v>0</v>
      </c>
      <c r="Y71" s="120">
        <f>'As-Filed Schedule 2M'!O71</f>
        <v>0</v>
      </c>
      <c r="Z71" s="313">
        <f>SUMIFS(Adjustments!$G:$G,Adjustments!$H:$H,"2M",Adjustments!$I:$I,'Schedule 2M Adjustments'!$Y$12,Adjustments!$J:$J,'Schedule 2M Adjustments'!$A71)</f>
        <v>0</v>
      </c>
      <c r="AA71" s="309">
        <f t="shared" si="7"/>
        <v>0</v>
      </c>
    </row>
    <row r="72" spans="1:27" x14ac:dyDescent="0.35">
      <c r="A72" s="24">
        <v>58</v>
      </c>
      <c r="B72" s="507" t="str">
        <f>IF('As-Filed Schedule 2M'!B72:D72=0,"",'As-Filed Schedule 2M'!B72:D72)</f>
        <v/>
      </c>
      <c r="C72" s="507"/>
      <c r="D72" s="507"/>
      <c r="F72" s="117">
        <f>'As-Filed Schedule 2M'!F72</f>
        <v>0</v>
      </c>
      <c r="G72" s="313">
        <f>SUMIFS(Adjustments!$G:$G,Adjustments!$H:$H,"2M",Adjustments!$I:$I,'Schedule 2M Adjustments'!$F$12,Adjustments!$J:$J,'Schedule 2M Adjustments'!$A72)</f>
        <v>0</v>
      </c>
      <c r="H72" s="309">
        <f t="shared" si="0"/>
        <v>0</v>
      </c>
      <c r="I72" s="68">
        <f>IFERROR(F72*'As-Filed Schedule 1'!$E$103,0)</f>
        <v>0</v>
      </c>
      <c r="J72" s="310">
        <f>IFERROR(H72*'Adjusted Schedule 1'!$E$104,0)</f>
        <v>0</v>
      </c>
      <c r="K72" s="68">
        <f t="shared" si="1"/>
        <v>0</v>
      </c>
      <c r="L72" s="310">
        <f t="shared" si="2"/>
        <v>0</v>
      </c>
      <c r="N72" s="117">
        <f>'As-Filed Schedule 2M'!J72</f>
        <v>0</v>
      </c>
      <c r="O72" s="313">
        <f>SUMIFS(Adjustments!$G:$G,Adjustments!$H:$H,"2M",Adjustments!$I:$I,'Schedule 2M Adjustments'!$N$12,Adjustments!$J:$J,'Schedule 2M Adjustments'!$A72)</f>
        <v>0</v>
      </c>
      <c r="P72" s="309">
        <f t="shared" si="3"/>
        <v>0</v>
      </c>
      <c r="Q72" s="68">
        <f>IFERROR(N72*'As-Filed Schedule 1'!$E$103,0)</f>
        <v>0</v>
      </c>
      <c r="R72" s="68">
        <f>IFERROR(P72*'Adjusted Schedule 1'!$E$104,0)</f>
        <v>0</v>
      </c>
      <c r="S72" s="68">
        <f t="shared" si="4"/>
        <v>0</v>
      </c>
      <c r="T72" s="310">
        <f t="shared" si="5"/>
        <v>0</v>
      </c>
      <c r="V72" s="120">
        <f>'As-Filed Schedule 2M'!N72</f>
        <v>0</v>
      </c>
      <c r="W72" s="313">
        <f>SUMIFS(Adjustments!$G:$G,Adjustments!$H:$H,"2M",Adjustments!$I:$I,'Schedule 2M Adjustments'!$V$12,Adjustments!$J:$J,'Schedule 2M Adjustments'!$A72)</f>
        <v>0</v>
      </c>
      <c r="X72" s="309">
        <f t="shared" si="6"/>
        <v>0</v>
      </c>
      <c r="Y72" s="120">
        <f>'As-Filed Schedule 2M'!O72</f>
        <v>0</v>
      </c>
      <c r="Z72" s="313">
        <f>SUMIFS(Adjustments!$G:$G,Adjustments!$H:$H,"2M",Adjustments!$I:$I,'Schedule 2M Adjustments'!$Y$12,Adjustments!$J:$J,'Schedule 2M Adjustments'!$A72)</f>
        <v>0</v>
      </c>
      <c r="AA72" s="309">
        <f t="shared" si="7"/>
        <v>0</v>
      </c>
    </row>
    <row r="73" spans="1:27" x14ac:dyDescent="0.35">
      <c r="A73" s="24">
        <v>59</v>
      </c>
      <c r="F73" s="18">
        <f>SUM(F15:F72)</f>
        <v>0</v>
      </c>
      <c r="G73" s="18">
        <f>SUM(G15:G72)</f>
        <v>0</v>
      </c>
      <c r="H73" s="18">
        <f t="shared" ref="H73:K73" si="8">SUM(H15:H72)</f>
        <v>0</v>
      </c>
      <c r="I73" s="18">
        <f t="shared" si="8"/>
        <v>0</v>
      </c>
      <c r="J73" s="310">
        <f>IFERROR(H73*'Adjusted Schedule 1'!$E$104,0)</f>
        <v>0</v>
      </c>
      <c r="K73" s="18">
        <f t="shared" si="8"/>
        <v>0</v>
      </c>
      <c r="L73" s="311">
        <f t="shared" ref="L73" si="9">SUM(L15:L72)</f>
        <v>0</v>
      </c>
      <c r="N73" s="18">
        <f>SUM(N15:N72)</f>
        <v>0</v>
      </c>
      <c r="O73" s="18">
        <f t="shared" ref="O73:S73" si="10">SUM(O15:O72)</f>
        <v>0</v>
      </c>
      <c r="P73" s="18">
        <f t="shared" si="10"/>
        <v>0</v>
      </c>
      <c r="Q73" s="18">
        <f t="shared" si="10"/>
        <v>0</v>
      </c>
      <c r="R73" s="18">
        <f t="shared" si="10"/>
        <v>0</v>
      </c>
      <c r="S73" s="18">
        <f t="shared" si="10"/>
        <v>0</v>
      </c>
      <c r="T73" s="311">
        <f>SUM(T15:T72)</f>
        <v>0</v>
      </c>
      <c r="Y73" s="83" t="s">
        <v>313</v>
      </c>
      <c r="Z73" s="331"/>
      <c r="AA73" s="328"/>
    </row>
    <row r="74" spans="1:27" ht="15" thickBot="1" x14ac:dyDescent="0.4">
      <c r="K74" s="37" t="s">
        <v>257</v>
      </c>
      <c r="L74" s="324" t="s">
        <v>257</v>
      </c>
      <c r="S74" s="37" t="s">
        <v>258</v>
      </c>
      <c r="T74" s="324" t="s">
        <v>258</v>
      </c>
    </row>
    <row r="75" spans="1:27" s="72" customFormat="1" ht="16" thickBot="1" x14ac:dyDescent="0.4">
      <c r="A75" s="24">
        <v>60</v>
      </c>
      <c r="B75" s="73" t="s">
        <v>814</v>
      </c>
      <c r="F75" s="75">
        <f>K73+S73</f>
        <v>0</v>
      </c>
      <c r="G75"/>
      <c r="H75" s="75">
        <f>L73+T73</f>
        <v>0</v>
      </c>
      <c r="I75" s="74"/>
      <c r="J75" s="325"/>
      <c r="K75" s="74"/>
      <c r="L75" s="325"/>
      <c r="N75" s="74"/>
      <c r="O75" s="332"/>
      <c r="P75" s="325"/>
      <c r="Q75" s="74"/>
      <c r="R75" s="325"/>
      <c r="T75" s="327"/>
      <c r="W75" s="330"/>
      <c r="X75" s="327"/>
      <c r="Z75" s="330"/>
      <c r="AA75" s="327"/>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08984375" defaultRowHeight="14.5" x14ac:dyDescent="0.35"/>
  <cols>
    <col min="2" max="2" width="15.6328125" customWidth="1"/>
    <col min="3" max="3" width="20.6328125" customWidth="1"/>
    <col min="4" max="5" width="17.453125" customWidth="1"/>
    <col min="6" max="6" width="10.90625" customWidth="1"/>
    <col min="7" max="7" width="16.6328125" style="138" customWidth="1"/>
    <col min="8" max="8" width="14.9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9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4.9"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0" t="str">
        <f>Results!$C$6</f>
        <v>Diversus Health</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496" t="s">
        <v>480</v>
      </c>
      <c r="B9" s="496"/>
      <c r="C9" s="496"/>
      <c r="D9" s="496"/>
      <c r="E9" s="496"/>
      <c r="F9" s="496"/>
      <c r="G9" s="496"/>
      <c r="H9" s="496"/>
      <c r="I9" s="496"/>
      <c r="J9" s="496"/>
      <c r="K9" s="496"/>
      <c r="L9" s="342"/>
      <c r="M9" s="337"/>
      <c r="N9" s="100"/>
      <c r="AE9" s="40"/>
      <c r="AF9" s="40"/>
      <c r="AG9" s="40"/>
    </row>
    <row r="10" spans="1:33" x14ac:dyDescent="0.35">
      <c r="A10" s="496"/>
      <c r="B10" s="496"/>
      <c r="C10" s="496"/>
      <c r="D10" s="496"/>
      <c r="E10" s="496"/>
      <c r="F10" s="496"/>
      <c r="G10" s="496"/>
      <c r="H10" s="496"/>
      <c r="I10" s="496"/>
      <c r="J10" s="496"/>
      <c r="K10" s="496"/>
      <c r="L10" s="342"/>
      <c r="M10" s="337"/>
      <c r="N10" s="100"/>
      <c r="AE10" s="40"/>
      <c r="AF10" s="40"/>
      <c r="AG10" s="40"/>
    </row>
    <row r="11" spans="1:33" x14ac:dyDescent="0.35">
      <c r="A11" s="496"/>
      <c r="B11" s="496"/>
      <c r="C11" s="496"/>
      <c r="D11" s="496"/>
      <c r="E11" s="496"/>
      <c r="F11" s="496"/>
      <c r="G11" s="496"/>
      <c r="H11" s="496"/>
      <c r="I11" s="496"/>
      <c r="J11" s="496"/>
      <c r="K11" s="496"/>
      <c r="L11" s="342"/>
      <c r="M11" s="337"/>
      <c r="N11" s="100"/>
      <c r="AE11" s="40"/>
      <c r="AF11" s="40"/>
      <c r="AG11" s="40"/>
    </row>
    <row r="12" spans="1:33" x14ac:dyDescent="0.35">
      <c r="A12" s="204"/>
      <c r="B12" s="100"/>
      <c r="C12" s="205"/>
      <c r="D12" s="205"/>
      <c r="E12" s="206"/>
      <c r="F12" s="206"/>
      <c r="G12" s="365"/>
      <c r="H12" s="366"/>
      <c r="I12" s="367"/>
      <c r="J12" s="206"/>
      <c r="K12" s="100"/>
      <c r="N12" s="100"/>
      <c r="AE12" s="40"/>
      <c r="AF12" s="40"/>
      <c r="AG12" s="40"/>
    </row>
    <row r="13" spans="1:33" x14ac:dyDescent="0.35">
      <c r="A13" s="100"/>
      <c r="B13" s="490">
        <v>1</v>
      </c>
      <c r="C13" s="491"/>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23" t="s">
        <v>632</v>
      </c>
      <c r="C14" s="524"/>
      <c r="D14" s="520" t="s">
        <v>633</v>
      </c>
      <c r="E14" s="520" t="s">
        <v>634</v>
      </c>
      <c r="F14" s="520" t="s">
        <v>635</v>
      </c>
      <c r="G14" s="527" t="s">
        <v>636</v>
      </c>
      <c r="H14" s="527" t="s">
        <v>637</v>
      </c>
      <c r="I14" s="208"/>
      <c r="J14" s="208"/>
      <c r="K14" s="520" t="s">
        <v>160</v>
      </c>
      <c r="L14" s="563" t="s">
        <v>639</v>
      </c>
      <c r="M14" s="565" t="s">
        <v>640</v>
      </c>
      <c r="N14" s="520" t="s">
        <v>161</v>
      </c>
      <c r="O14" s="565" t="s">
        <v>641</v>
      </c>
      <c r="P14" s="505" t="s">
        <v>168</v>
      </c>
      <c r="Q14" s="510"/>
      <c r="R14" s="510"/>
      <c r="S14" s="510"/>
      <c r="T14" s="506"/>
      <c r="U14" s="505" t="s">
        <v>34</v>
      </c>
      <c r="V14" s="510"/>
      <c r="W14" s="510"/>
      <c r="X14" s="510"/>
      <c r="Y14" s="506"/>
      <c r="Z14" s="505" t="s">
        <v>169</v>
      </c>
      <c r="AA14" s="510"/>
      <c r="AB14" s="510"/>
      <c r="AC14" s="510"/>
    </row>
    <row r="15" spans="1:33" ht="60" customHeight="1" x14ac:dyDescent="0.35">
      <c r="A15" s="100"/>
      <c r="B15" s="525"/>
      <c r="C15" s="526"/>
      <c r="D15" s="521"/>
      <c r="E15" s="521"/>
      <c r="F15" s="521"/>
      <c r="G15" s="528"/>
      <c r="H15" s="528"/>
      <c r="I15" s="209" t="s">
        <v>454</v>
      </c>
      <c r="J15" s="209" t="s">
        <v>638</v>
      </c>
      <c r="K15" s="521"/>
      <c r="L15" s="564"/>
      <c r="M15" s="566"/>
      <c r="N15" s="521"/>
      <c r="O15" s="566"/>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6" t="s">
        <v>598</v>
      </c>
      <c r="C16" s="210"/>
      <c r="D16" s="97"/>
      <c r="E16" s="97"/>
      <c r="F16" s="97"/>
      <c r="G16" s="211"/>
      <c r="H16" s="211"/>
      <c r="I16" s="97"/>
      <c r="J16" s="97"/>
      <c r="K16" s="97"/>
      <c r="L16" s="343"/>
      <c r="M16" s="129"/>
      <c r="N16" s="97"/>
      <c r="O16" s="129"/>
      <c r="P16" s="6"/>
      <c r="Q16" s="343"/>
      <c r="R16" s="129"/>
      <c r="S16" s="6"/>
      <c r="T16" s="129"/>
      <c r="U16" s="6"/>
      <c r="V16" s="343"/>
      <c r="W16" s="129"/>
      <c r="X16" s="6"/>
      <c r="Y16" s="129"/>
      <c r="Z16" s="6"/>
      <c r="AA16" s="129"/>
      <c r="AB16" s="6"/>
      <c r="AC16" s="129"/>
    </row>
    <row r="17" spans="1:29" s="34" customFormat="1" x14ac:dyDescent="0.35">
      <c r="A17" s="212">
        <v>1</v>
      </c>
      <c r="B17" s="518" t="str">
        <f>'As-Filed Schedule 3'!B17:C17</f>
        <v>Diversus Health Service ATU</v>
      </c>
      <c r="C17" s="519"/>
      <c r="D17" s="364" t="str">
        <f>'As-Filed Schedule 3'!D17</f>
        <v>ATU</v>
      </c>
      <c r="E17" s="364" t="str">
        <f>'As-Filed Schedule 3'!E17</f>
        <v>BHE</v>
      </c>
      <c r="F17" s="363">
        <f>'As-Filed Schedule 3'!F17</f>
        <v>16</v>
      </c>
      <c r="G17" s="362">
        <f>'As-Filed Schedule 3'!G17</f>
        <v>0</v>
      </c>
      <c r="H17" s="362">
        <f>'As-Filed Schedule 3'!H17</f>
        <v>0</v>
      </c>
      <c r="I17" s="213">
        <f>IF(B17=0,"",IF(AND(G17=0,H17=0),365,IF(AND(G17&gt;0,H17=0),$C$6-G17+1,IF(AND(G17=0,H17&gt;0),H17-($C$6-365),H17-G17+1))))</f>
        <v>365</v>
      </c>
      <c r="J17" s="98"/>
      <c r="K17" s="413">
        <f>SUM(K18:K20)</f>
        <v>3151</v>
      </c>
      <c r="L17" s="415">
        <f>SUM(L18:L20)</f>
        <v>0</v>
      </c>
      <c r="M17" s="417">
        <f>SUM(M18:M20)</f>
        <v>3151</v>
      </c>
      <c r="N17" s="215">
        <f>IF(K17&gt;0,K17/(F17*I17),"")</f>
        <v>0.539554794520548</v>
      </c>
      <c r="O17" s="345">
        <f>IF(M17&gt;0,M17/(F17*I17),"")</f>
        <v>0.539554794520548</v>
      </c>
      <c r="P17" s="126">
        <f>'As-Filed Schedule 3'!M17</f>
        <v>5773346.1970490608</v>
      </c>
      <c r="Q17" s="348">
        <f>SUMIFS(Adjustments!$G:$G,Adjustments!$H:$H,"3",Adjustments!$I:$I,'Schedule 3 Adjustments'!$P$13,Adjustments!$J:$J,$A17)</f>
        <v>0</v>
      </c>
      <c r="R17" s="352">
        <f>SUM(P17:Q17)</f>
        <v>5773346.1970490608</v>
      </c>
      <c r="S17" s="85">
        <f>IFERROR(P17/K17,"")</f>
        <v>1832.2266572672361</v>
      </c>
      <c r="T17" s="356">
        <f>IFERROR(R17/M17,"")</f>
        <v>1832.2266572672361</v>
      </c>
      <c r="U17" s="126">
        <f>'As-Filed Schedule 3'!O17</f>
        <v>804426.67583998712</v>
      </c>
      <c r="V17" s="348">
        <f>SUMIFS(Adjustments!$G:$G,Adjustments!$H:$H,"3",Adjustments!$I:$I,'Schedule 3 Adjustments'!$U$13,Adjustments!$J:$J,$A17)</f>
        <v>0</v>
      </c>
      <c r="W17" s="352">
        <f>SUM(U17:V17)</f>
        <v>804426.67583998712</v>
      </c>
      <c r="X17" s="85">
        <f>IFERROR(U17/K17,"")</f>
        <v>255.29250264677472</v>
      </c>
      <c r="Y17" s="85">
        <f>IFERROR(W17/M17,"")</f>
        <v>255.29250264677472</v>
      </c>
      <c r="Z17" s="85">
        <f>IF(P17=0,"",P17-U17)</f>
        <v>4968919.5212090742</v>
      </c>
      <c r="AA17" s="85">
        <f>IF(R17=0,"",R17-W17)</f>
        <v>4968919.5212090742</v>
      </c>
      <c r="AB17" s="85">
        <f>IFERROR(Z17/K17,"")</f>
        <v>1576.9341546204614</v>
      </c>
      <c r="AC17" s="356">
        <f>IFERROR(AA17/M17,"")</f>
        <v>1576.9341546204614</v>
      </c>
    </row>
    <row r="18" spans="1:29" x14ac:dyDescent="0.35">
      <c r="A18" s="216" t="s">
        <v>447</v>
      </c>
      <c r="B18" s="217"/>
      <c r="C18" s="217"/>
      <c r="D18" s="217"/>
      <c r="E18" s="217"/>
      <c r="F18" s="218"/>
      <c r="G18" s="219"/>
      <c r="H18" s="219"/>
      <c r="I18" s="220"/>
      <c r="J18" s="368" t="str">
        <f>'As-Filed Schedule 3'!J18</f>
        <v>H0017</v>
      </c>
      <c r="K18" s="414">
        <f>'As-Filed Schedule 3'!K18</f>
        <v>3151</v>
      </c>
      <c r="L18" s="416">
        <f>SUMIFS(Adjustments!$G:$G,Adjustments!$H:$H,"3",Adjustments!$I:$I,'Schedule 3 Adjustments'!$K$13,Adjustments!$J:$J,"1a")</f>
        <v>0</v>
      </c>
      <c r="M18" s="418">
        <f>SUM(K18:L18)</f>
        <v>3151</v>
      </c>
      <c r="N18" s="222"/>
      <c r="O18" s="353"/>
      <c r="P18" s="87"/>
      <c r="Q18" s="349"/>
      <c r="R18" s="353"/>
      <c r="S18" s="87"/>
      <c r="T18" s="353"/>
      <c r="U18" s="87"/>
      <c r="V18" s="349"/>
      <c r="W18" s="353"/>
      <c r="X18" s="87"/>
      <c r="Y18" s="353"/>
      <c r="Z18" s="87"/>
      <c r="AA18" s="353"/>
      <c r="AB18" s="87"/>
      <c r="AC18" s="353"/>
    </row>
    <row r="19" spans="1:29" x14ac:dyDescent="0.35">
      <c r="A19" s="223" t="s">
        <v>448</v>
      </c>
      <c r="B19" s="224"/>
      <c r="C19" s="224"/>
      <c r="D19" s="224"/>
      <c r="E19" s="224"/>
      <c r="F19" s="225"/>
      <c r="G19" s="226"/>
      <c r="H19" s="226"/>
      <c r="I19" s="227"/>
      <c r="J19" s="368">
        <f>'As-Filed Schedule 3'!J19</f>
        <v>0</v>
      </c>
      <c r="K19" s="414">
        <f>'As-Filed Schedule 3'!K19</f>
        <v>0</v>
      </c>
      <c r="L19" s="416">
        <f>SUMIFS(Adjustments!$G:$G,Adjustments!$H:$H,"3",Adjustments!$I:$I,'Schedule 3 Adjustments'!$K$13,Adjustments!$J:$J,"1b")</f>
        <v>0</v>
      </c>
      <c r="M19" s="418">
        <f>SUM(K19:L19)</f>
        <v>0</v>
      </c>
      <c r="N19" s="229"/>
      <c r="O19" s="354"/>
      <c r="P19" s="88"/>
      <c r="Q19" s="350"/>
      <c r="R19" s="354"/>
      <c r="S19" s="88"/>
      <c r="T19" s="354"/>
      <c r="U19" s="88"/>
      <c r="V19" s="350"/>
      <c r="W19" s="354"/>
      <c r="X19" s="88"/>
      <c r="Y19" s="354"/>
      <c r="Z19" s="88"/>
      <c r="AA19" s="354"/>
      <c r="AB19" s="88"/>
      <c r="AC19" s="354"/>
    </row>
    <row r="20" spans="1:29" x14ac:dyDescent="0.35">
      <c r="A20" s="230" t="s">
        <v>449</v>
      </c>
      <c r="B20" s="224"/>
      <c r="C20" s="224"/>
      <c r="D20" s="224"/>
      <c r="E20" s="224"/>
      <c r="F20" s="225"/>
      <c r="G20" s="226"/>
      <c r="H20" s="226"/>
      <c r="I20" s="227"/>
      <c r="J20" s="368">
        <f>'As-Filed Schedule 3'!J20</f>
        <v>0</v>
      </c>
      <c r="K20" s="414">
        <f>'As-Filed Schedule 3'!K20</f>
        <v>0</v>
      </c>
      <c r="L20" s="416">
        <f>SUMIFS(Adjustments!$G:$G,Adjustments!$H:$H,"3",Adjustments!$I:$I,'Schedule 3 Adjustments'!$K$13,Adjustments!$J:$J,"1c")</f>
        <v>0</v>
      </c>
      <c r="M20" s="418">
        <f>SUM(K20:L20)</f>
        <v>0</v>
      </c>
      <c r="N20" s="229"/>
      <c r="O20" s="354"/>
      <c r="P20" s="88"/>
      <c r="Q20" s="350"/>
      <c r="R20" s="354"/>
      <c r="S20" s="88"/>
      <c r="T20" s="354"/>
      <c r="U20" s="88"/>
      <c r="V20" s="350"/>
      <c r="W20" s="354"/>
      <c r="X20" s="88"/>
      <c r="Y20" s="354"/>
      <c r="Z20" s="88"/>
      <c r="AA20" s="354"/>
      <c r="AB20" s="88"/>
      <c r="AC20" s="354"/>
    </row>
    <row r="21" spans="1:29" x14ac:dyDescent="0.35">
      <c r="J21" s="100"/>
      <c r="N21" s="28"/>
      <c r="O21" s="346"/>
    </row>
    <row r="22" spans="1:29" s="34" customFormat="1" x14ac:dyDescent="0.35">
      <c r="A22" s="84">
        <v>2</v>
      </c>
      <c r="B22" s="518">
        <f>'As-Filed Schedule 3'!B22:C22</f>
        <v>0</v>
      </c>
      <c r="C22" s="519"/>
      <c r="D22" s="364">
        <f>'As-Filed Schedule 3'!D22</f>
        <v>0</v>
      </c>
      <c r="E22" s="364">
        <f>'As-Filed Schedule 3'!E22</f>
        <v>0</v>
      </c>
      <c r="F22" s="363">
        <f>'As-Filed Schedule 3'!F22</f>
        <v>0</v>
      </c>
      <c r="G22" s="362">
        <f>'As-Filed Schedule 3'!G22</f>
        <v>0</v>
      </c>
      <c r="H22" s="362">
        <f>'As-Filed Schedule 3'!H22</f>
        <v>0</v>
      </c>
      <c r="I22" s="139" t="str">
        <f>IF(B22=0,"",IF(AND(G22=0,H22=0),365,IF(AND(G22&gt;0,H22=0),$C$6-G22+1,IF(AND(G22=0,H22&gt;0),H22-($C$6-365),H22-G22+1))))</f>
        <v/>
      </c>
      <c r="J22" s="98"/>
      <c r="K22" s="413">
        <f>SUM(K23:K25)</f>
        <v>0</v>
      </c>
      <c r="L22" s="415">
        <f>SUM(L23:L25)</f>
        <v>0</v>
      </c>
      <c r="M22" s="417">
        <f>SUM(M23:M25)</f>
        <v>0</v>
      </c>
      <c r="N22" s="91" t="str">
        <f>IF(K22&gt;0,K22/(F22*I22),"")</f>
        <v/>
      </c>
      <c r="O22" s="345" t="str">
        <f>IF(M22&gt;0,M22/(F22*I22),"")</f>
        <v/>
      </c>
      <c r="P22" s="126">
        <f>'As-Filed Schedule 3'!M22</f>
        <v>0</v>
      </c>
      <c r="Q22" s="348">
        <f>SUMIFS(Adjustments!$G:$G,Adjustments!$H:$H,"3",Adjustments!$I:$I,'Schedule 3 Adjustments'!$P$13,Adjustments!$J:$J,$A22)</f>
        <v>0</v>
      </c>
      <c r="R22" s="352">
        <f>SUM(P22:Q22)</f>
        <v>0</v>
      </c>
      <c r="S22" s="85" t="str">
        <f>IFERROR(P22/K22,"")</f>
        <v/>
      </c>
      <c r="T22" s="356" t="str">
        <f>IFERROR(R22/M22,"")</f>
        <v/>
      </c>
      <c r="U22" s="126">
        <f>'As-Filed Schedule 3'!O22</f>
        <v>0</v>
      </c>
      <c r="V22" s="348">
        <f>SUMIFS(Adjustments!$G:$G,Adjustments!$H:$H,"3",Adjustments!$I:$I,'Schedule 3 Adjustments'!$U$13,Adjustments!$J:$J,$A22)</f>
        <v>0</v>
      </c>
      <c r="W22" s="352">
        <f>SUM(U22:V22)</f>
        <v>0</v>
      </c>
      <c r="X22" s="85" t="str">
        <f>IFERROR(U22/K22,"")</f>
        <v/>
      </c>
      <c r="Y22" s="85" t="str">
        <f>IFERROR(W22/M22,"")</f>
        <v/>
      </c>
      <c r="Z22" s="86" t="str">
        <f>IF(P22=0,"",P22-U22)</f>
        <v/>
      </c>
      <c r="AA22" s="358" t="str">
        <f>IF(R22=0,"",R22-W22)</f>
        <v/>
      </c>
      <c r="AB22" s="85" t="str">
        <f>IFERROR(Z22/K22,"")</f>
        <v/>
      </c>
      <c r="AC22" s="356" t="str">
        <f>IFERROR(AA22/M22,"")</f>
        <v/>
      </c>
    </row>
    <row r="23" spans="1:29" x14ac:dyDescent="0.35">
      <c r="A23" s="101" t="s">
        <v>447</v>
      </c>
      <c r="B23" s="87"/>
      <c r="C23" s="87"/>
      <c r="D23" s="87"/>
      <c r="E23" s="87"/>
      <c r="F23" s="132"/>
      <c r="G23" s="135"/>
      <c r="H23" s="135"/>
      <c r="I23" s="104"/>
      <c r="J23" s="368">
        <f>'As-Filed Schedule 3'!J23</f>
        <v>0</v>
      </c>
      <c r="K23" s="414">
        <f>'As-Filed Schedule 3'!K23</f>
        <v>0</v>
      </c>
      <c r="L23" s="416">
        <f>SUMIFS(Adjustments!$G:$G,Adjustments!$H:$H,"3",Adjustments!$I:$I,'Schedule 3 Adjustments'!$K$13,Adjustments!$J:$J,"2a")</f>
        <v>0</v>
      </c>
      <c r="M23" s="418">
        <f>SUM(K23:L23)</f>
        <v>0</v>
      </c>
      <c r="N23" s="89"/>
      <c r="O23" s="353"/>
      <c r="P23" s="87"/>
      <c r="Q23" s="349"/>
      <c r="R23" s="353"/>
      <c r="S23" s="87"/>
      <c r="T23" s="353"/>
      <c r="U23" s="87"/>
      <c r="V23" s="349"/>
      <c r="W23" s="353"/>
      <c r="X23" s="87"/>
      <c r="Y23" s="353"/>
      <c r="Z23" s="87"/>
      <c r="AA23" s="353"/>
      <c r="AB23" s="87"/>
      <c r="AC23" s="353"/>
    </row>
    <row r="24" spans="1:29" x14ac:dyDescent="0.35">
      <c r="A24" s="102" t="s">
        <v>448</v>
      </c>
      <c r="B24" s="88"/>
      <c r="C24" s="88"/>
      <c r="D24" s="88"/>
      <c r="E24" s="88"/>
      <c r="F24" s="133"/>
      <c r="G24" s="136"/>
      <c r="H24" s="136"/>
      <c r="I24" s="105"/>
      <c r="J24" s="368">
        <f>'As-Filed Schedule 3'!J24</f>
        <v>0</v>
      </c>
      <c r="K24" s="414">
        <f>'As-Filed Schedule 3'!K24</f>
        <v>0</v>
      </c>
      <c r="L24" s="416">
        <f>SUMIFS(Adjustments!$G:$G,Adjustments!$H:$H,"3",Adjustments!$I:$I,'Schedule 3 Adjustments'!$K$13,Adjustments!$J:$J,"2b")</f>
        <v>0</v>
      </c>
      <c r="M24" s="418">
        <f>SUM(K24:L24)</f>
        <v>0</v>
      </c>
      <c r="N24" s="90"/>
      <c r="O24" s="354"/>
      <c r="P24" s="88"/>
      <c r="Q24" s="350"/>
      <c r="R24" s="354"/>
      <c r="S24" s="88"/>
      <c r="T24" s="354"/>
      <c r="U24" s="88"/>
      <c r="V24" s="350"/>
      <c r="W24" s="354"/>
      <c r="X24" s="88"/>
      <c r="Y24" s="354"/>
      <c r="Z24" s="88"/>
      <c r="AA24" s="354"/>
      <c r="AB24" s="88"/>
      <c r="AC24" s="354"/>
    </row>
    <row r="25" spans="1:29" x14ac:dyDescent="0.35">
      <c r="A25" s="103" t="s">
        <v>449</v>
      </c>
      <c r="B25" s="88"/>
      <c r="C25" s="88"/>
      <c r="D25" s="88"/>
      <c r="E25" s="88"/>
      <c r="F25" s="133"/>
      <c r="G25" s="136"/>
      <c r="H25" s="136"/>
      <c r="I25" s="105"/>
      <c r="J25" s="368">
        <f>'As-Filed Schedule 3'!J25</f>
        <v>0</v>
      </c>
      <c r="K25" s="414">
        <f>'As-Filed Schedule 3'!K25</f>
        <v>0</v>
      </c>
      <c r="L25" s="416">
        <f>SUMIFS(Adjustments!$G:$G,Adjustments!$H:$H,"3",Adjustments!$I:$I,'Schedule 3 Adjustments'!$K$13,Adjustments!$J:$J,"2c")</f>
        <v>0</v>
      </c>
      <c r="M25" s="418">
        <f>SUM(K25:L25)</f>
        <v>0</v>
      </c>
      <c r="N25" s="90"/>
      <c r="O25" s="354"/>
      <c r="P25" s="88"/>
      <c r="Q25" s="350"/>
      <c r="R25" s="354"/>
      <c r="S25" s="88"/>
      <c r="T25" s="354"/>
      <c r="U25" s="88"/>
      <c r="V25" s="350"/>
      <c r="W25" s="354"/>
      <c r="X25" s="88"/>
      <c r="Y25" s="354"/>
      <c r="Z25" s="88"/>
      <c r="AA25" s="354"/>
      <c r="AB25" s="88"/>
      <c r="AC25" s="354"/>
    </row>
    <row r="26" spans="1:29" x14ac:dyDescent="0.35">
      <c r="J26" s="100"/>
      <c r="N26" s="28"/>
      <c r="O26" s="346"/>
    </row>
    <row r="27" spans="1:29" s="34" customFormat="1" x14ac:dyDescent="0.35">
      <c r="A27" s="84">
        <v>3</v>
      </c>
      <c r="B27" s="518">
        <f>'As-Filed Schedule 3'!B27:C27</f>
        <v>0</v>
      </c>
      <c r="C27" s="519"/>
      <c r="D27" s="364">
        <f>'As-Filed Schedule 3'!D27</f>
        <v>0</v>
      </c>
      <c r="E27" s="364">
        <f>'As-Filed Schedule 3'!E27</f>
        <v>0</v>
      </c>
      <c r="F27" s="363">
        <f>'As-Filed Schedule 3'!F27</f>
        <v>0</v>
      </c>
      <c r="G27" s="362">
        <f>'As-Filed Schedule 3'!G27</f>
        <v>0</v>
      </c>
      <c r="H27" s="362">
        <f>'As-Filed Schedule 3'!H27</f>
        <v>0</v>
      </c>
      <c r="I27" s="139" t="str">
        <f>IF(B27=0,"",IF(AND(G27=0,H27=0),365,IF(AND(G27&gt;0,H27=0),$C$6-G27+1,IF(AND(G27=0,H27&gt;0),H27-($C$6-365),H27-G27+1))))</f>
        <v/>
      </c>
      <c r="J27" s="98"/>
      <c r="K27" s="413">
        <f>SUM(K28:K30)</f>
        <v>0</v>
      </c>
      <c r="L27" s="415">
        <f>SUM(L28:L30)</f>
        <v>0</v>
      </c>
      <c r="M27" s="417">
        <f>SUM(M28:M30)</f>
        <v>0</v>
      </c>
      <c r="N27" s="91" t="str">
        <f>IF(K27&gt;0,K27/(F27*I27),"")</f>
        <v/>
      </c>
      <c r="O27" s="345" t="str">
        <f>IF(M27&gt;0,M27/(F27*I27),"")</f>
        <v/>
      </c>
      <c r="P27" s="126">
        <f>'As-Filed Schedule 3'!M27</f>
        <v>0</v>
      </c>
      <c r="Q27" s="348">
        <f>SUMIFS(Adjustments!$G:$G,Adjustments!$H:$H,"3",Adjustments!$I:$I,'Schedule 3 Adjustments'!$P$13,Adjustments!$J:$J,'As-Filed Schedule 3'!A27)</f>
        <v>0</v>
      </c>
      <c r="R27" s="352">
        <f>SUM(P27:Q27)</f>
        <v>0</v>
      </c>
      <c r="S27" s="85" t="str">
        <f>IFERROR(P27/K27,"")</f>
        <v/>
      </c>
      <c r="T27" s="356" t="str">
        <f>IFERROR(R27/M27,"")</f>
        <v/>
      </c>
      <c r="U27" s="126">
        <f>'As-Filed Schedule 3'!O27</f>
        <v>0</v>
      </c>
      <c r="V27" s="348">
        <f>SUMIFS(Adjustments!$G:$G,Adjustments!$H:$H,"3",Adjustments!$I:$I,'Schedule 3 Adjustments'!$U$13,Adjustments!$J:$J,$A27)</f>
        <v>0</v>
      </c>
      <c r="W27" s="352">
        <f>SUM(U27:V27)</f>
        <v>0</v>
      </c>
      <c r="X27" s="85" t="str">
        <f>IFERROR(U27/K27,"")</f>
        <v/>
      </c>
      <c r="Y27" s="85" t="str">
        <f>IFERROR(W27/M27,"")</f>
        <v/>
      </c>
      <c r="Z27" s="86" t="str">
        <f>IF(P27=0,"",P27-U27)</f>
        <v/>
      </c>
      <c r="AA27" s="358" t="str">
        <f>IF(R27=0,"",R27-W27)</f>
        <v/>
      </c>
      <c r="AB27" s="85" t="str">
        <f>IFERROR(Z27/K27,"")</f>
        <v/>
      </c>
      <c r="AC27" s="356" t="str">
        <f>IFERROR(AA27/M27,"")</f>
        <v/>
      </c>
    </row>
    <row r="28" spans="1:29" x14ac:dyDescent="0.35">
      <c r="A28" s="101" t="s">
        <v>447</v>
      </c>
      <c r="B28" s="87"/>
      <c r="C28" s="87"/>
      <c r="D28" s="87"/>
      <c r="E28" s="87"/>
      <c r="F28" s="132"/>
      <c r="G28" s="135"/>
      <c r="H28" s="135"/>
      <c r="I28" s="104"/>
      <c r="J28" s="368">
        <f>'As-Filed Schedule 3'!J28</f>
        <v>0</v>
      </c>
      <c r="K28" s="414">
        <f>'As-Filed Schedule 3'!K28</f>
        <v>0</v>
      </c>
      <c r="L28" s="416">
        <f>SUMIFS(Adjustments!$G:$G,Adjustments!$H:$H,"3",Adjustments!$I:$I,'Schedule 3 Adjustments'!$K$13,Adjustments!$J:$J,"3a")</f>
        <v>0</v>
      </c>
      <c r="M28" s="418">
        <f>SUM(K28:L28)</f>
        <v>0</v>
      </c>
      <c r="N28" s="89"/>
      <c r="O28" s="353"/>
      <c r="P28" s="87"/>
      <c r="Q28" s="349"/>
      <c r="R28" s="353"/>
      <c r="S28" s="87"/>
      <c r="T28" s="353"/>
      <c r="U28" s="87"/>
      <c r="V28" s="349"/>
      <c r="W28" s="353"/>
      <c r="X28" s="87"/>
      <c r="Y28" s="353"/>
      <c r="Z28" s="87"/>
      <c r="AA28" s="353"/>
      <c r="AB28" s="87"/>
      <c r="AC28" s="353"/>
    </row>
    <row r="29" spans="1:29" x14ac:dyDescent="0.35">
      <c r="A29" s="102" t="s">
        <v>448</v>
      </c>
      <c r="B29" s="88"/>
      <c r="C29" s="88"/>
      <c r="D29" s="88"/>
      <c r="E29" s="88"/>
      <c r="F29" s="133"/>
      <c r="G29" s="136"/>
      <c r="H29" s="136"/>
      <c r="I29" s="105"/>
      <c r="J29" s="368">
        <f>'As-Filed Schedule 3'!J29</f>
        <v>0</v>
      </c>
      <c r="K29" s="414">
        <f>'As-Filed Schedule 3'!K29</f>
        <v>0</v>
      </c>
      <c r="L29" s="416">
        <f>SUMIFS(Adjustments!$G:$G,Adjustments!$H:$H,"3",Adjustments!$I:$I,'Schedule 3 Adjustments'!$K$13,Adjustments!$J:$J,"3b")</f>
        <v>0</v>
      </c>
      <c r="M29" s="418">
        <f>SUM(K29:L29)</f>
        <v>0</v>
      </c>
      <c r="N29" s="90"/>
      <c r="O29" s="354"/>
      <c r="P29" s="88"/>
      <c r="Q29" s="350"/>
      <c r="R29" s="354"/>
      <c r="S29" s="88"/>
      <c r="T29" s="354"/>
      <c r="U29" s="88"/>
      <c r="V29" s="350"/>
      <c r="W29" s="354"/>
      <c r="X29" s="88"/>
      <c r="Y29" s="354"/>
      <c r="Z29" s="88"/>
      <c r="AA29" s="354"/>
      <c r="AB29" s="88"/>
      <c r="AC29" s="354"/>
    </row>
    <row r="30" spans="1:29" x14ac:dyDescent="0.35">
      <c r="A30" s="103" t="s">
        <v>449</v>
      </c>
      <c r="B30" s="88"/>
      <c r="C30" s="88"/>
      <c r="D30" s="88"/>
      <c r="E30" s="88"/>
      <c r="F30" s="133"/>
      <c r="G30" s="136"/>
      <c r="H30" s="136"/>
      <c r="I30" s="105"/>
      <c r="J30" s="368">
        <f>'As-Filed Schedule 3'!J30</f>
        <v>0</v>
      </c>
      <c r="K30" s="414">
        <f>'As-Filed Schedule 3'!K30</f>
        <v>0</v>
      </c>
      <c r="L30" s="416">
        <f>SUMIFS(Adjustments!$G:$G,Adjustments!$H:$H,"3",Adjustments!$I:$I,'Schedule 3 Adjustments'!$K$13,Adjustments!$J:$J,"3c")</f>
        <v>0</v>
      </c>
      <c r="M30" s="418">
        <f>SUM(K30:L30)</f>
        <v>0</v>
      </c>
      <c r="N30" s="90"/>
      <c r="O30" s="354"/>
      <c r="P30" s="88"/>
      <c r="Q30" s="350"/>
      <c r="R30" s="354"/>
      <c r="S30" s="88"/>
      <c r="T30" s="354"/>
      <c r="U30" s="88"/>
      <c r="V30" s="350"/>
      <c r="W30" s="354"/>
      <c r="X30" s="88"/>
      <c r="Y30" s="354"/>
      <c r="Z30" s="88"/>
      <c r="AA30" s="354"/>
      <c r="AB30" s="88"/>
      <c r="AC30" s="354"/>
    </row>
    <row r="31" spans="1:29" x14ac:dyDescent="0.35">
      <c r="J31" s="100"/>
      <c r="N31" s="28"/>
      <c r="O31" s="346"/>
    </row>
    <row r="32" spans="1:29" s="34" customFormat="1" x14ac:dyDescent="0.35">
      <c r="A32" s="84">
        <v>4</v>
      </c>
      <c r="B32" s="518">
        <f>'As-Filed Schedule 3'!B32:C32</f>
        <v>0</v>
      </c>
      <c r="C32" s="519"/>
      <c r="D32" s="364">
        <f>'As-Filed Schedule 3'!D32</f>
        <v>0</v>
      </c>
      <c r="E32" s="364">
        <f>'As-Filed Schedule 3'!E32</f>
        <v>0</v>
      </c>
      <c r="F32" s="363">
        <f>'As-Filed Schedule 3'!F32</f>
        <v>0</v>
      </c>
      <c r="G32" s="362">
        <f>'As-Filed Schedule 3'!G32</f>
        <v>0</v>
      </c>
      <c r="H32" s="362">
        <f>'As-Filed Schedule 3'!H32</f>
        <v>0</v>
      </c>
      <c r="I32" s="139" t="str">
        <f>IF(B32=0,"",IF(AND(G32=0,H32=0),365,IF(AND(G32&gt;0,H32=0),$C$6-G32+1,IF(AND(G32=0,H32&gt;0),H32-($C$6-365),H32-G32+1))))</f>
        <v/>
      </c>
      <c r="J32" s="98"/>
      <c r="K32" s="413">
        <f>SUM(K33:K35)</f>
        <v>0</v>
      </c>
      <c r="L32" s="415">
        <f>SUM(L33:L35)</f>
        <v>0</v>
      </c>
      <c r="M32" s="417">
        <f>SUM(M33:M35)</f>
        <v>0</v>
      </c>
      <c r="N32" s="91" t="str">
        <f>IF(K32&gt;0,K32/(F32*I32),"")</f>
        <v/>
      </c>
      <c r="O32" s="345" t="str">
        <f>IF(M32&gt;0,M32/(F32*I32),"")</f>
        <v/>
      </c>
      <c r="P32" s="126">
        <f>'As-Filed Schedule 3'!M32</f>
        <v>0</v>
      </c>
      <c r="Q32" s="348">
        <f>SUMIFS(Adjustments!$G:$G,Adjustments!$H:$H,"3",Adjustments!$I:$I,'Schedule 3 Adjustments'!$P$13,Adjustments!$J:$J,'As-Filed Schedule 3'!A32)</f>
        <v>0</v>
      </c>
      <c r="R32" s="352">
        <f>SUM(P32:Q32)</f>
        <v>0</v>
      </c>
      <c r="S32" s="85" t="str">
        <f>IFERROR(P32/K32,"")</f>
        <v/>
      </c>
      <c r="T32" s="356" t="str">
        <f>IFERROR(R32/M32,"")</f>
        <v/>
      </c>
      <c r="U32" s="126">
        <f>'As-Filed Schedule 3'!O32</f>
        <v>0</v>
      </c>
      <c r="V32" s="348">
        <f>SUMIFS(Adjustments!$G:$G,Adjustments!$H:$H,"3",Adjustments!$I:$I,'Schedule 3 Adjustments'!$U$13,Adjustments!$J:$J,$A32)</f>
        <v>0</v>
      </c>
      <c r="W32" s="352">
        <f>SUM(U32:V32)</f>
        <v>0</v>
      </c>
      <c r="X32" s="85" t="str">
        <f>IFERROR(U32/K32,"")</f>
        <v/>
      </c>
      <c r="Y32" s="85" t="str">
        <f>IFERROR(W32/M32,"")</f>
        <v/>
      </c>
      <c r="Z32" s="86" t="str">
        <f>IF(P32=0,"",P32-U32)</f>
        <v/>
      </c>
      <c r="AA32" s="358" t="str">
        <f>IF(R32=0,"",R32-W32)</f>
        <v/>
      </c>
      <c r="AB32" s="85" t="str">
        <f>IFERROR(Z32/K32,"")</f>
        <v/>
      </c>
      <c r="AC32" s="356" t="str">
        <f>IFERROR(AA32/M32,"")</f>
        <v/>
      </c>
    </row>
    <row r="33" spans="1:29" x14ac:dyDescent="0.35">
      <c r="A33" s="101" t="s">
        <v>447</v>
      </c>
      <c r="B33" s="87"/>
      <c r="C33" s="87"/>
      <c r="D33" s="87"/>
      <c r="E33" s="87"/>
      <c r="F33" s="132"/>
      <c r="G33" s="135"/>
      <c r="H33" s="135"/>
      <c r="I33" s="104"/>
      <c r="J33" s="368">
        <f>'As-Filed Schedule 3'!J33</f>
        <v>0</v>
      </c>
      <c r="K33" s="414">
        <f>'As-Filed Schedule 3'!K33</f>
        <v>0</v>
      </c>
      <c r="L33" s="416">
        <f>SUMIFS(Adjustments!$G:$G,Adjustments!$H:$H,"3",Adjustments!$I:$I,'Schedule 3 Adjustments'!$K$13,Adjustments!$J:$J,"4a")</f>
        <v>0</v>
      </c>
      <c r="M33" s="418">
        <f>SUM(K33:L33)</f>
        <v>0</v>
      </c>
      <c r="N33" s="89"/>
      <c r="O33" s="353"/>
      <c r="P33" s="87"/>
      <c r="Q33" s="349"/>
      <c r="R33" s="353"/>
      <c r="S33" s="87"/>
      <c r="T33" s="353"/>
      <c r="U33" s="87"/>
      <c r="V33" s="349"/>
      <c r="W33" s="353"/>
      <c r="X33" s="87"/>
      <c r="Y33" s="353"/>
      <c r="Z33" s="87"/>
      <c r="AA33" s="353"/>
      <c r="AB33" s="87"/>
      <c r="AC33" s="353"/>
    </row>
    <row r="34" spans="1:29" x14ac:dyDescent="0.35">
      <c r="A34" s="102" t="s">
        <v>448</v>
      </c>
      <c r="B34" s="88"/>
      <c r="C34" s="88"/>
      <c r="D34" s="88"/>
      <c r="E34" s="88"/>
      <c r="F34" s="133"/>
      <c r="G34" s="136"/>
      <c r="H34" s="136"/>
      <c r="I34" s="105"/>
      <c r="J34" s="368">
        <f>'As-Filed Schedule 3'!J34</f>
        <v>0</v>
      </c>
      <c r="K34" s="414">
        <f>'As-Filed Schedule 3'!K34</f>
        <v>0</v>
      </c>
      <c r="L34" s="416">
        <f>SUMIFS(Adjustments!$G:$G,Adjustments!$H:$H,"3",Adjustments!$I:$I,'Schedule 3 Adjustments'!$K$13,Adjustments!$J:$J,"4b")</f>
        <v>0</v>
      </c>
      <c r="M34" s="418">
        <f>SUM(K34:L34)</f>
        <v>0</v>
      </c>
      <c r="N34" s="90"/>
      <c r="O34" s="354"/>
      <c r="P34" s="88"/>
      <c r="Q34" s="350"/>
      <c r="R34" s="354"/>
      <c r="S34" s="88"/>
      <c r="T34" s="354"/>
      <c r="U34" s="88"/>
      <c r="V34" s="350"/>
      <c r="W34" s="354"/>
      <c r="X34" s="88"/>
      <c r="Y34" s="354"/>
      <c r="Z34" s="88"/>
      <c r="AA34" s="354"/>
      <c r="AB34" s="88"/>
      <c r="AC34" s="354"/>
    </row>
    <row r="35" spans="1:29" x14ac:dyDescent="0.35">
      <c r="A35" s="103" t="s">
        <v>449</v>
      </c>
      <c r="B35" s="88"/>
      <c r="C35" s="88"/>
      <c r="D35" s="88"/>
      <c r="E35" s="88"/>
      <c r="F35" s="133"/>
      <c r="G35" s="136"/>
      <c r="H35" s="136"/>
      <c r="I35" s="105"/>
      <c r="J35" s="368">
        <f>'As-Filed Schedule 3'!J35</f>
        <v>0</v>
      </c>
      <c r="K35" s="414">
        <f>'As-Filed Schedule 3'!K35</f>
        <v>0</v>
      </c>
      <c r="L35" s="416">
        <f>SUMIFS(Adjustments!$G:$G,Adjustments!$H:$H,"3",Adjustments!$I:$I,'Schedule 3 Adjustments'!$K$13,Adjustments!$J:$J,"4c")</f>
        <v>0</v>
      </c>
      <c r="M35" s="418">
        <f>SUM(K35:L35)</f>
        <v>0</v>
      </c>
      <c r="N35" s="90"/>
      <c r="O35" s="354"/>
      <c r="P35" s="88"/>
      <c r="Q35" s="350"/>
      <c r="R35" s="354"/>
      <c r="S35" s="88"/>
      <c r="T35" s="354"/>
      <c r="U35" s="88"/>
      <c r="V35" s="350"/>
      <c r="W35" s="354"/>
      <c r="X35" s="88"/>
      <c r="Y35" s="354"/>
      <c r="Z35" s="88"/>
      <c r="AA35" s="354"/>
      <c r="AB35" s="88"/>
      <c r="AC35" s="354"/>
    </row>
    <row r="36" spans="1:29" x14ac:dyDescent="0.35">
      <c r="J36" s="100"/>
      <c r="N36" s="28"/>
      <c r="O36" s="346"/>
    </row>
    <row r="37" spans="1:29" s="34" customFormat="1" x14ac:dyDescent="0.35">
      <c r="A37" s="84">
        <v>5</v>
      </c>
      <c r="B37" s="518">
        <f>'As-Filed Schedule 3'!B37:C37</f>
        <v>0</v>
      </c>
      <c r="C37" s="519"/>
      <c r="D37" s="364">
        <f>'As-Filed Schedule 3'!D37</f>
        <v>0</v>
      </c>
      <c r="E37" s="364">
        <f>'As-Filed Schedule 3'!E37</f>
        <v>0</v>
      </c>
      <c r="F37" s="363">
        <f>'As-Filed Schedule 3'!F37</f>
        <v>0</v>
      </c>
      <c r="G37" s="362">
        <f>'As-Filed Schedule 3'!G37</f>
        <v>0</v>
      </c>
      <c r="H37" s="362">
        <f>'As-Filed Schedule 3'!H37</f>
        <v>0</v>
      </c>
      <c r="I37" s="139" t="str">
        <f>IF(B37=0,"",IF(AND(G37=0,H37=0),365,IF(AND(G37&gt;0,H37=0),$C$6-G37+1,IF(AND(G37=0,H37&gt;0),H37-($C$6-365),H37-G37+1))))</f>
        <v/>
      </c>
      <c r="J37" s="98"/>
      <c r="K37" s="413">
        <f>SUM(K38:K40)</f>
        <v>0</v>
      </c>
      <c r="L37" s="415">
        <f>SUM(L38:L40)</f>
        <v>0</v>
      </c>
      <c r="M37" s="417">
        <f>SUM(M38:M40)</f>
        <v>0</v>
      </c>
      <c r="N37" s="91" t="str">
        <f>IF(K37&gt;0,K37/(F37*I37),"")</f>
        <v/>
      </c>
      <c r="O37" s="345" t="str">
        <f>IF(M37&gt;0,M37/(F37*I37),"")</f>
        <v/>
      </c>
      <c r="P37" s="126">
        <f>'As-Filed Schedule 3'!M37</f>
        <v>0</v>
      </c>
      <c r="Q37" s="348">
        <f>SUMIFS(Adjustments!$G:$G,Adjustments!$H:$H,"3",Adjustments!$I:$I,'Schedule 3 Adjustments'!$P$13,Adjustments!$J:$J,'As-Filed Schedule 3'!A37)</f>
        <v>0</v>
      </c>
      <c r="R37" s="352">
        <f>SUM(P37:Q37)</f>
        <v>0</v>
      </c>
      <c r="S37" s="85" t="str">
        <f>IFERROR(P37/K37,"")</f>
        <v/>
      </c>
      <c r="T37" s="356" t="str">
        <f>IFERROR(R37/M37,"")</f>
        <v/>
      </c>
      <c r="U37" s="126">
        <f>'As-Filed Schedule 3'!O37</f>
        <v>0</v>
      </c>
      <c r="V37" s="348">
        <f>SUMIFS(Adjustments!$G:$G,Adjustments!$H:$H,"3",Adjustments!$I:$I,'Schedule 3 Adjustments'!$U$13,Adjustments!$J:$J,$A37)</f>
        <v>0</v>
      </c>
      <c r="W37" s="352">
        <f>SUM(U37:V37)</f>
        <v>0</v>
      </c>
      <c r="X37" s="85" t="str">
        <f>IFERROR(U37/K37,"")</f>
        <v/>
      </c>
      <c r="Y37" s="85" t="str">
        <f>IFERROR(W37/M37,"")</f>
        <v/>
      </c>
      <c r="Z37" s="86" t="str">
        <f>IF(P37=0,"",P37-U37)</f>
        <v/>
      </c>
      <c r="AA37" s="358" t="str">
        <f>IF(R37=0,"",R37-W37)</f>
        <v/>
      </c>
      <c r="AB37" s="85" t="str">
        <f>IFERROR(Z37/K37,"")</f>
        <v/>
      </c>
      <c r="AC37" s="356" t="str">
        <f>IFERROR(AA37/M37,"")</f>
        <v/>
      </c>
    </row>
    <row r="38" spans="1:29" x14ac:dyDescent="0.35">
      <c r="A38" s="101" t="s">
        <v>447</v>
      </c>
      <c r="B38" s="87"/>
      <c r="C38" s="87"/>
      <c r="D38" s="87"/>
      <c r="E38" s="87"/>
      <c r="F38" s="132"/>
      <c r="G38" s="135"/>
      <c r="H38" s="135"/>
      <c r="I38" s="104"/>
      <c r="J38" s="368">
        <f>'As-Filed Schedule 3'!J38</f>
        <v>0</v>
      </c>
      <c r="K38" s="414">
        <f>'As-Filed Schedule 3'!K38</f>
        <v>0</v>
      </c>
      <c r="L38" s="416">
        <f>SUMIFS(Adjustments!$G:$G,Adjustments!$H:$H,"3",Adjustments!$I:$I,'Schedule 3 Adjustments'!$K$13,Adjustments!$J:$J,"5a")</f>
        <v>0</v>
      </c>
      <c r="M38" s="418">
        <f>SUM(K38:L38)</f>
        <v>0</v>
      </c>
      <c r="N38" s="89"/>
      <c r="O38" s="353"/>
      <c r="P38" s="87"/>
      <c r="Q38" s="349"/>
      <c r="R38" s="353"/>
      <c r="S38" s="87"/>
      <c r="T38" s="353"/>
      <c r="U38" s="87"/>
      <c r="V38" s="349"/>
      <c r="W38" s="353"/>
      <c r="X38" s="87"/>
      <c r="Y38" s="353"/>
      <c r="Z38" s="87"/>
      <c r="AA38" s="353"/>
      <c r="AB38" s="87"/>
      <c r="AC38" s="353"/>
    </row>
    <row r="39" spans="1:29" x14ac:dyDescent="0.35">
      <c r="A39" s="102" t="s">
        <v>448</v>
      </c>
      <c r="B39" s="88"/>
      <c r="C39" s="88"/>
      <c r="D39" s="88"/>
      <c r="E39" s="88"/>
      <c r="F39" s="133"/>
      <c r="G39" s="136"/>
      <c r="H39" s="136"/>
      <c r="I39" s="105"/>
      <c r="J39" s="368">
        <f>'As-Filed Schedule 3'!J39</f>
        <v>0</v>
      </c>
      <c r="K39" s="414">
        <f>'As-Filed Schedule 3'!K39</f>
        <v>0</v>
      </c>
      <c r="L39" s="416">
        <f>SUMIFS(Adjustments!$G:$G,Adjustments!$H:$H,"3",Adjustments!$I:$I,'Schedule 3 Adjustments'!$K$13,Adjustments!$J:$J,"5b")</f>
        <v>0</v>
      </c>
      <c r="M39" s="418">
        <f>SUM(K39:L39)</f>
        <v>0</v>
      </c>
      <c r="N39" s="90"/>
      <c r="O39" s="354"/>
      <c r="P39" s="88"/>
      <c r="Q39" s="350"/>
      <c r="R39" s="354"/>
      <c r="S39" s="88"/>
      <c r="T39" s="354"/>
      <c r="U39" s="88"/>
      <c r="V39" s="350"/>
      <c r="W39" s="354"/>
      <c r="X39" s="88"/>
      <c r="Y39" s="354"/>
      <c r="Z39" s="88"/>
      <c r="AA39" s="354"/>
      <c r="AB39" s="88"/>
      <c r="AC39" s="354"/>
    </row>
    <row r="40" spans="1:29" x14ac:dyDescent="0.35">
      <c r="A40" s="103" t="s">
        <v>449</v>
      </c>
      <c r="B40" s="88"/>
      <c r="C40" s="88"/>
      <c r="D40" s="88"/>
      <c r="E40" s="88"/>
      <c r="F40" s="133"/>
      <c r="G40" s="136"/>
      <c r="H40" s="136"/>
      <c r="I40" s="105"/>
      <c r="J40" s="368">
        <f>'As-Filed Schedule 3'!J40</f>
        <v>0</v>
      </c>
      <c r="K40" s="414">
        <f>'As-Filed Schedule 3'!K40</f>
        <v>0</v>
      </c>
      <c r="L40" s="416">
        <f>SUMIFS(Adjustments!$G:$G,Adjustments!$H:$H,"3",Adjustments!$I:$I,'Schedule 3 Adjustments'!$K$13,Adjustments!$J:$J,"5c")</f>
        <v>0</v>
      </c>
      <c r="M40" s="418">
        <f>SUM(K40:L40)</f>
        <v>0</v>
      </c>
      <c r="N40" s="90"/>
      <c r="O40" s="354"/>
      <c r="P40" s="88"/>
      <c r="Q40" s="350"/>
      <c r="R40" s="354"/>
      <c r="S40" s="88"/>
      <c r="T40" s="354"/>
      <c r="U40" s="88"/>
      <c r="V40" s="350"/>
      <c r="W40" s="354"/>
      <c r="X40" s="88"/>
      <c r="Y40" s="354"/>
      <c r="Z40" s="88"/>
      <c r="AA40" s="354"/>
      <c r="AB40" s="88"/>
      <c r="AC40" s="354"/>
    </row>
    <row r="41" spans="1:29" x14ac:dyDescent="0.35">
      <c r="J41" s="100"/>
      <c r="N41" s="28"/>
      <c r="O41" s="346"/>
    </row>
    <row r="42" spans="1:29" s="34" customFormat="1" x14ac:dyDescent="0.35">
      <c r="A42" s="84">
        <v>6</v>
      </c>
      <c r="B42" s="518">
        <f>'As-Filed Schedule 3'!B42:C42</f>
        <v>0</v>
      </c>
      <c r="C42" s="519"/>
      <c r="D42" s="364">
        <f>'As-Filed Schedule 3'!D42</f>
        <v>0</v>
      </c>
      <c r="E42" s="364">
        <f>'As-Filed Schedule 3'!E42</f>
        <v>0</v>
      </c>
      <c r="F42" s="363">
        <f>'As-Filed Schedule 3'!F42</f>
        <v>0</v>
      </c>
      <c r="G42" s="362">
        <f>'As-Filed Schedule 3'!G42</f>
        <v>0</v>
      </c>
      <c r="H42" s="362">
        <f>'As-Filed Schedule 3'!H42</f>
        <v>0</v>
      </c>
      <c r="I42" s="139" t="str">
        <f>IF(B42=0,"",IF(AND(G42=0,H42=0),365,IF(AND(G42&gt;0,H42=0),$C$6-G42+1,IF(AND(G42=0,H42&gt;0),H42-($C$6-365),H42-G42+1))))</f>
        <v/>
      </c>
      <c r="J42" s="98"/>
      <c r="K42" s="413">
        <f>SUM(K43:K45)</f>
        <v>0</v>
      </c>
      <c r="L42" s="415">
        <f>SUM(L43:L45)</f>
        <v>0</v>
      </c>
      <c r="M42" s="417">
        <f>SUM(M43:M45)</f>
        <v>0</v>
      </c>
      <c r="N42" s="91" t="str">
        <f>IF(K42&gt;0,K42/(F42*I42),"")</f>
        <v/>
      </c>
      <c r="O42" s="345" t="str">
        <f>IF(M42&gt;0,M42/(F42*I42),"")</f>
        <v/>
      </c>
      <c r="P42" s="126">
        <f>'As-Filed Schedule 3'!M42</f>
        <v>0</v>
      </c>
      <c r="Q42" s="348">
        <f>SUMIFS(Adjustments!$G:$G,Adjustments!$H:$H,"3",Adjustments!$I:$I,'Schedule 3 Adjustments'!$P$13,Adjustments!$J:$J,'As-Filed Schedule 3'!A42)</f>
        <v>0</v>
      </c>
      <c r="R42" s="352">
        <f>SUM(P42:Q42)</f>
        <v>0</v>
      </c>
      <c r="S42" s="85" t="str">
        <f>IFERROR(P42/K42,"")</f>
        <v/>
      </c>
      <c r="T42" s="356" t="str">
        <f>IFERROR(R42/M42,"")</f>
        <v/>
      </c>
      <c r="U42" s="126">
        <f>'As-Filed Schedule 3'!O42</f>
        <v>0</v>
      </c>
      <c r="V42" s="348">
        <f>SUMIFS(Adjustments!$G:$G,Adjustments!$H:$H,"3",Adjustments!$I:$I,'Schedule 3 Adjustments'!$U$13,Adjustments!$J:$J,$A42)</f>
        <v>0</v>
      </c>
      <c r="W42" s="352">
        <f>SUM(U42:V42)</f>
        <v>0</v>
      </c>
      <c r="X42" s="85" t="str">
        <f>IFERROR(U42/K42,"")</f>
        <v/>
      </c>
      <c r="Y42" s="85" t="str">
        <f>IFERROR(W42/M42,"")</f>
        <v/>
      </c>
      <c r="Z42" s="86" t="str">
        <f>IF(P42=0,"",P42-U42)</f>
        <v/>
      </c>
      <c r="AA42" s="358" t="str">
        <f>IF(R42=0,"",R42-W42)</f>
        <v/>
      </c>
      <c r="AB42" s="85" t="str">
        <f>IFERROR(Z42/K42,"")</f>
        <v/>
      </c>
      <c r="AC42" s="356" t="str">
        <f>IFERROR(AA42/M42,"")</f>
        <v/>
      </c>
    </row>
    <row r="43" spans="1:29" x14ac:dyDescent="0.35">
      <c r="A43" s="101" t="s">
        <v>447</v>
      </c>
      <c r="B43" s="87"/>
      <c r="C43" s="87"/>
      <c r="D43" s="87"/>
      <c r="E43" s="87"/>
      <c r="F43" s="132"/>
      <c r="G43" s="135"/>
      <c r="H43" s="135"/>
      <c r="I43" s="104"/>
      <c r="J43" s="368">
        <f>'As-Filed Schedule 3'!J43</f>
        <v>0</v>
      </c>
      <c r="K43" s="414">
        <f>'As-Filed Schedule 3'!K43</f>
        <v>0</v>
      </c>
      <c r="L43" s="416">
        <f>SUMIFS(Adjustments!$G:$G,Adjustments!$H:$H,"3",Adjustments!$I:$I,'Schedule 3 Adjustments'!$K$13,Adjustments!$J:$J,"6a")</f>
        <v>0</v>
      </c>
      <c r="M43" s="418">
        <f>SUM(K43:L43)</f>
        <v>0</v>
      </c>
      <c r="N43" s="89"/>
      <c r="O43" s="353"/>
      <c r="P43" s="87"/>
      <c r="Q43" s="349"/>
      <c r="R43" s="353"/>
      <c r="S43" s="87"/>
      <c r="T43" s="353"/>
      <c r="U43" s="87"/>
      <c r="V43" s="349"/>
      <c r="W43" s="353"/>
      <c r="X43" s="87"/>
      <c r="Y43" s="353"/>
      <c r="Z43" s="87"/>
      <c r="AA43" s="353"/>
      <c r="AB43" s="87"/>
      <c r="AC43" s="353"/>
    </row>
    <row r="44" spans="1:29" x14ac:dyDescent="0.35">
      <c r="A44" s="102" t="s">
        <v>448</v>
      </c>
      <c r="B44" s="88"/>
      <c r="C44" s="88"/>
      <c r="D44" s="88"/>
      <c r="E44" s="88"/>
      <c r="F44" s="133"/>
      <c r="G44" s="136"/>
      <c r="H44" s="136"/>
      <c r="I44" s="105"/>
      <c r="J44" s="368">
        <f>'As-Filed Schedule 3'!J44</f>
        <v>0</v>
      </c>
      <c r="K44" s="414">
        <f>'As-Filed Schedule 3'!K44</f>
        <v>0</v>
      </c>
      <c r="L44" s="416">
        <f>SUMIFS(Adjustments!$G:$G,Adjustments!$H:$H,"3",Adjustments!$I:$I,'Schedule 3 Adjustments'!$K$13,Adjustments!$J:$J,"6b")</f>
        <v>0</v>
      </c>
      <c r="M44" s="418">
        <f>SUM(K44:L44)</f>
        <v>0</v>
      </c>
      <c r="N44" s="90"/>
      <c r="O44" s="354"/>
      <c r="P44" s="88"/>
      <c r="Q44" s="350"/>
      <c r="R44" s="354"/>
      <c r="S44" s="88"/>
      <c r="T44" s="354"/>
      <c r="U44" s="88"/>
      <c r="V44" s="350"/>
      <c r="W44" s="354"/>
      <c r="X44" s="88"/>
      <c r="Y44" s="354"/>
      <c r="Z44" s="88"/>
      <c r="AA44" s="354"/>
      <c r="AB44" s="88"/>
      <c r="AC44" s="354"/>
    </row>
    <row r="45" spans="1:29" x14ac:dyDescent="0.35">
      <c r="A45" s="103" t="s">
        <v>449</v>
      </c>
      <c r="B45" s="88"/>
      <c r="C45" s="88"/>
      <c r="D45" s="88"/>
      <c r="E45" s="88"/>
      <c r="F45" s="133"/>
      <c r="G45" s="136"/>
      <c r="H45" s="136"/>
      <c r="I45" s="105"/>
      <c r="J45" s="368">
        <f>'As-Filed Schedule 3'!J45</f>
        <v>0</v>
      </c>
      <c r="K45" s="414">
        <f>'As-Filed Schedule 3'!K45</f>
        <v>0</v>
      </c>
      <c r="L45" s="416">
        <f>SUMIFS(Adjustments!$G:$G,Adjustments!$H:$H,"3",Adjustments!$I:$I,'Schedule 3 Adjustments'!$K$13,Adjustments!$J:$J,"6c")</f>
        <v>0</v>
      </c>
      <c r="M45" s="418">
        <f>SUM(K45:L45)</f>
        <v>0</v>
      </c>
      <c r="N45" s="90"/>
      <c r="O45" s="354"/>
      <c r="P45" s="88"/>
      <c r="Q45" s="350"/>
      <c r="R45" s="354"/>
      <c r="S45" s="88"/>
      <c r="T45" s="354"/>
      <c r="U45" s="88"/>
      <c r="V45" s="350"/>
      <c r="W45" s="354"/>
      <c r="X45" s="88"/>
      <c r="Y45" s="354"/>
      <c r="Z45" s="88"/>
      <c r="AA45" s="354"/>
      <c r="AB45" s="88"/>
      <c r="AC45" s="354"/>
    </row>
    <row r="46" spans="1:29" x14ac:dyDescent="0.35">
      <c r="J46" s="100"/>
      <c r="N46" s="28"/>
      <c r="O46" s="346"/>
    </row>
    <row r="47" spans="1:29" s="34" customFormat="1" x14ac:dyDescent="0.35">
      <c r="A47" s="84">
        <v>7</v>
      </c>
      <c r="B47" s="518">
        <f>'As-Filed Schedule 3'!B47:C47</f>
        <v>0</v>
      </c>
      <c r="C47" s="519"/>
      <c r="D47" s="364">
        <f>'As-Filed Schedule 3'!D47</f>
        <v>0</v>
      </c>
      <c r="E47" s="364">
        <f>'As-Filed Schedule 3'!E47</f>
        <v>0</v>
      </c>
      <c r="F47" s="363">
        <f>'As-Filed Schedule 3'!F47</f>
        <v>0</v>
      </c>
      <c r="G47" s="362">
        <f>'As-Filed Schedule 3'!G47</f>
        <v>0</v>
      </c>
      <c r="H47" s="362">
        <f>'As-Filed Schedule 3'!H47</f>
        <v>0</v>
      </c>
      <c r="I47" s="139" t="str">
        <f>IF(B47=0,"",IF(AND(G47=0,H47=0),365,IF(AND(G47&gt;0,H47=0),$C$6-G47+1,IF(AND(G47=0,H47&gt;0),H47-($C$6-365),H47-G47+1))))</f>
        <v/>
      </c>
      <c r="J47" s="98"/>
      <c r="K47" s="413">
        <f>SUM(K48:K50)</f>
        <v>0</v>
      </c>
      <c r="L47" s="415">
        <f>SUM(L48:L50)</f>
        <v>0</v>
      </c>
      <c r="M47" s="417">
        <f>SUM(M48:M50)</f>
        <v>0</v>
      </c>
      <c r="N47" s="91" t="str">
        <f>IF(K47&gt;0,K47/(F47*I47),"")</f>
        <v/>
      </c>
      <c r="O47" s="345" t="str">
        <f>IF(M47&gt;0,M47/(F47*I47),"")</f>
        <v/>
      </c>
      <c r="P47" s="126">
        <f>'As-Filed Schedule 3'!M47</f>
        <v>0</v>
      </c>
      <c r="Q47" s="348">
        <f>SUMIFS(Adjustments!$G:$G,Adjustments!$H:$H,"3",Adjustments!$I:$I,'Schedule 3 Adjustments'!$P$13,Adjustments!$J:$J,'As-Filed Schedule 3'!A47)</f>
        <v>0</v>
      </c>
      <c r="R47" s="352">
        <f>SUM(P47:Q47)</f>
        <v>0</v>
      </c>
      <c r="S47" s="85" t="str">
        <f>IFERROR(P47/K47,"")</f>
        <v/>
      </c>
      <c r="T47" s="356" t="str">
        <f>IFERROR(R47/M47,"")</f>
        <v/>
      </c>
      <c r="U47" s="126">
        <f>'As-Filed Schedule 3'!O47</f>
        <v>0</v>
      </c>
      <c r="V47" s="348">
        <f>SUMIFS(Adjustments!$G:$G,Adjustments!$H:$H,"3",Adjustments!$I:$I,'Schedule 3 Adjustments'!$U$13,Adjustments!$J:$J,$A47)</f>
        <v>0</v>
      </c>
      <c r="W47" s="352">
        <f>SUM(U47:V47)</f>
        <v>0</v>
      </c>
      <c r="X47" s="85" t="str">
        <f>IFERROR(U47/K47,"")</f>
        <v/>
      </c>
      <c r="Y47" s="85" t="str">
        <f>IFERROR(W47/M47,"")</f>
        <v/>
      </c>
      <c r="Z47" s="86" t="str">
        <f>IF(P47=0,"",P47-U47)</f>
        <v/>
      </c>
      <c r="AA47" s="358" t="str">
        <f>IF(R47=0,"",R47-W47)</f>
        <v/>
      </c>
      <c r="AB47" s="85" t="str">
        <f>IFERROR(Z47/K47,"")</f>
        <v/>
      </c>
      <c r="AC47" s="356" t="str">
        <f>IFERROR(AA47/M47,"")</f>
        <v/>
      </c>
    </row>
    <row r="48" spans="1:29" x14ac:dyDescent="0.35">
      <c r="A48" s="101" t="s">
        <v>447</v>
      </c>
      <c r="B48" s="87"/>
      <c r="C48" s="87"/>
      <c r="D48" s="87"/>
      <c r="E48" s="87"/>
      <c r="F48" s="132"/>
      <c r="G48" s="135"/>
      <c r="H48" s="135"/>
      <c r="I48" s="104"/>
      <c r="J48" s="368">
        <f>'As-Filed Schedule 3'!J48</f>
        <v>0</v>
      </c>
      <c r="K48" s="414">
        <f>'As-Filed Schedule 3'!K48</f>
        <v>0</v>
      </c>
      <c r="L48" s="416">
        <f>SUMIFS(Adjustments!$G:$G,Adjustments!$H:$H,"3",Adjustments!$I:$I,'Schedule 3 Adjustments'!$K$13,Adjustments!$J:$J,"7a")</f>
        <v>0</v>
      </c>
      <c r="M48" s="418">
        <f>SUM(K48:L48)</f>
        <v>0</v>
      </c>
      <c r="N48" s="89"/>
      <c r="O48" s="353"/>
      <c r="P48" s="87"/>
      <c r="Q48" s="349"/>
      <c r="R48" s="353"/>
      <c r="S48" s="87"/>
      <c r="T48" s="353"/>
      <c r="U48" s="87"/>
      <c r="V48" s="349"/>
      <c r="W48" s="353"/>
      <c r="X48" s="87"/>
      <c r="Y48" s="353"/>
      <c r="Z48" s="87"/>
      <c r="AA48" s="353"/>
      <c r="AB48" s="87"/>
      <c r="AC48" s="353"/>
    </row>
    <row r="49" spans="1:29" x14ac:dyDescent="0.35">
      <c r="A49" s="102" t="s">
        <v>448</v>
      </c>
      <c r="B49" s="88"/>
      <c r="C49" s="88"/>
      <c r="D49" s="88"/>
      <c r="E49" s="88"/>
      <c r="F49" s="133"/>
      <c r="G49" s="136"/>
      <c r="H49" s="136"/>
      <c r="I49" s="105"/>
      <c r="J49" s="368">
        <f>'As-Filed Schedule 3'!J49</f>
        <v>0</v>
      </c>
      <c r="K49" s="414">
        <f>'As-Filed Schedule 3'!K49</f>
        <v>0</v>
      </c>
      <c r="L49" s="416">
        <f>SUMIFS(Adjustments!$G:$G,Adjustments!$H:$H,"3",Adjustments!$I:$I,'Schedule 3 Adjustments'!$K$13,Adjustments!$J:$J,"7b")</f>
        <v>0</v>
      </c>
      <c r="M49" s="418">
        <f>SUM(K49:L49)</f>
        <v>0</v>
      </c>
      <c r="N49" s="90"/>
      <c r="O49" s="354"/>
      <c r="P49" s="88"/>
      <c r="Q49" s="350"/>
      <c r="R49" s="354"/>
      <c r="S49" s="88"/>
      <c r="T49" s="354"/>
      <c r="U49" s="88"/>
      <c r="V49" s="350"/>
      <c r="W49" s="354"/>
      <c r="X49" s="88"/>
      <c r="Y49" s="354"/>
      <c r="Z49" s="88"/>
      <c r="AA49" s="354"/>
      <c r="AB49" s="88"/>
      <c r="AC49" s="354"/>
    </row>
    <row r="50" spans="1:29" x14ac:dyDescent="0.35">
      <c r="A50" s="103" t="s">
        <v>449</v>
      </c>
      <c r="B50" s="88"/>
      <c r="C50" s="88"/>
      <c r="D50" s="88"/>
      <c r="E50" s="88"/>
      <c r="F50" s="133"/>
      <c r="G50" s="136"/>
      <c r="H50" s="136"/>
      <c r="I50" s="105"/>
      <c r="J50" s="368">
        <f>'As-Filed Schedule 3'!J50</f>
        <v>0</v>
      </c>
      <c r="K50" s="414">
        <f>'As-Filed Schedule 3'!K50</f>
        <v>0</v>
      </c>
      <c r="L50" s="416">
        <f>SUMIFS(Adjustments!$G:$G,Adjustments!$H:$H,"3",Adjustments!$I:$I,'Schedule 3 Adjustments'!$K$13,Adjustments!$J:$J,"7c")</f>
        <v>0</v>
      </c>
      <c r="M50" s="418">
        <f>SUM(K50:L50)</f>
        <v>0</v>
      </c>
      <c r="N50" s="90"/>
      <c r="O50" s="354"/>
      <c r="P50" s="88"/>
      <c r="Q50" s="350"/>
      <c r="R50" s="354"/>
      <c r="S50" s="88"/>
      <c r="T50" s="354"/>
      <c r="U50" s="88"/>
      <c r="V50" s="350"/>
      <c r="W50" s="354"/>
      <c r="X50" s="88"/>
      <c r="Y50" s="354"/>
      <c r="Z50" s="88"/>
      <c r="AA50" s="354"/>
      <c r="AB50" s="88"/>
      <c r="AC50" s="354"/>
    </row>
    <row r="51" spans="1:29" x14ac:dyDescent="0.35">
      <c r="J51" s="100"/>
      <c r="N51" s="28"/>
      <c r="O51" s="346"/>
    </row>
    <row r="52" spans="1:29" s="34" customFormat="1" x14ac:dyDescent="0.35">
      <c r="A52" s="84">
        <v>8</v>
      </c>
      <c r="B52" s="518">
        <f>'As-Filed Schedule 3'!B52:C52</f>
        <v>0</v>
      </c>
      <c r="C52" s="519"/>
      <c r="D52" s="364">
        <f>'As-Filed Schedule 3'!D52</f>
        <v>0</v>
      </c>
      <c r="E52" s="364">
        <f>'As-Filed Schedule 3'!E52</f>
        <v>0</v>
      </c>
      <c r="F52" s="363">
        <f>'As-Filed Schedule 3'!F52</f>
        <v>0</v>
      </c>
      <c r="G52" s="362">
        <f>'As-Filed Schedule 3'!G52</f>
        <v>0</v>
      </c>
      <c r="H52" s="362">
        <f>'As-Filed Schedule 3'!H52</f>
        <v>0</v>
      </c>
      <c r="I52" s="139" t="str">
        <f>IF(B52=0,"",IF(AND(G52=0,H52=0),365,IF(AND(G52&gt;0,H52=0),$C$6-G52+1,IF(AND(G52=0,H52&gt;0),H52-($C$6-365),H52-G52+1))))</f>
        <v/>
      </c>
      <c r="J52" s="98"/>
      <c r="K52" s="413">
        <f>SUM(K53:K55)</f>
        <v>0</v>
      </c>
      <c r="L52" s="415">
        <f>SUM(L53:L55)</f>
        <v>0</v>
      </c>
      <c r="M52" s="417">
        <f>SUM(M53:M55)</f>
        <v>0</v>
      </c>
      <c r="N52" s="91" t="str">
        <f>IF(K52&gt;0,K52/(F52*I52),"")</f>
        <v/>
      </c>
      <c r="O52" s="345" t="str">
        <f>IF(M52&gt;0,M52/(F52*I52),"")</f>
        <v/>
      </c>
      <c r="P52" s="126">
        <f>'As-Filed Schedule 3'!M52</f>
        <v>0</v>
      </c>
      <c r="Q52" s="348">
        <f>SUMIFS(Adjustments!$G:$G,Adjustments!$H:$H,"3",Adjustments!$I:$I,'Schedule 3 Adjustments'!$P$13,Adjustments!$J:$J,'As-Filed Schedule 3'!A52)</f>
        <v>0</v>
      </c>
      <c r="R52" s="352">
        <f>SUM(P52:Q52)</f>
        <v>0</v>
      </c>
      <c r="S52" s="85" t="str">
        <f>IFERROR(P52/K52,"")</f>
        <v/>
      </c>
      <c r="T52" s="356" t="str">
        <f>IFERROR(R52/M52,"")</f>
        <v/>
      </c>
      <c r="U52" s="126">
        <f>'As-Filed Schedule 3'!O52</f>
        <v>0</v>
      </c>
      <c r="V52" s="348">
        <f>SUMIFS(Adjustments!$G:$G,Adjustments!$H:$H,"3",Adjustments!$I:$I,'Schedule 3 Adjustments'!$U$13,Adjustments!$J:$J,$A52)</f>
        <v>0</v>
      </c>
      <c r="W52" s="352">
        <f>SUM(U52:V52)</f>
        <v>0</v>
      </c>
      <c r="X52" s="85" t="str">
        <f>IFERROR(U52/K52,"")</f>
        <v/>
      </c>
      <c r="Y52" s="85" t="str">
        <f>IFERROR(W52/M52,"")</f>
        <v/>
      </c>
      <c r="Z52" s="86" t="str">
        <f>IF(P52=0,"",P52-U52)</f>
        <v/>
      </c>
      <c r="AA52" s="358" t="str">
        <f>IF(R52=0,"",R52-W52)</f>
        <v/>
      </c>
      <c r="AB52" s="85" t="str">
        <f>IFERROR(Z52/K52,"")</f>
        <v/>
      </c>
      <c r="AC52" s="356" t="str">
        <f>IFERROR(AA52/M52,"")</f>
        <v/>
      </c>
    </row>
    <row r="53" spans="1:29" x14ac:dyDescent="0.35">
      <c r="A53" s="101" t="s">
        <v>447</v>
      </c>
      <c r="B53" s="87"/>
      <c r="C53" s="87"/>
      <c r="D53" s="87"/>
      <c r="E53" s="87"/>
      <c r="F53" s="132"/>
      <c r="G53" s="135"/>
      <c r="H53" s="135"/>
      <c r="I53" s="104"/>
      <c r="J53" s="368">
        <f>'As-Filed Schedule 3'!J53</f>
        <v>0</v>
      </c>
      <c r="K53" s="414">
        <f>'As-Filed Schedule 3'!K53</f>
        <v>0</v>
      </c>
      <c r="L53" s="416">
        <f>SUMIFS(Adjustments!$G:$G,Adjustments!$H:$H,"3",Adjustments!$I:$I,'Schedule 3 Adjustments'!$K$13,Adjustments!$J:$J,"8a")</f>
        <v>0</v>
      </c>
      <c r="M53" s="418">
        <f>SUM(K53:L53)</f>
        <v>0</v>
      </c>
      <c r="N53" s="89"/>
      <c r="O53" s="353"/>
      <c r="P53" s="87"/>
      <c r="Q53" s="349"/>
      <c r="R53" s="353"/>
      <c r="S53" s="87"/>
      <c r="T53" s="353"/>
      <c r="U53" s="87"/>
      <c r="V53" s="349"/>
      <c r="W53" s="353"/>
      <c r="X53" s="87"/>
      <c r="Y53" s="353"/>
      <c r="Z53" s="87"/>
      <c r="AA53" s="353"/>
      <c r="AB53" s="87"/>
      <c r="AC53" s="353"/>
    </row>
    <row r="54" spans="1:29" x14ac:dyDescent="0.35">
      <c r="A54" s="102" t="s">
        <v>448</v>
      </c>
      <c r="B54" s="88"/>
      <c r="C54" s="88"/>
      <c r="D54" s="88"/>
      <c r="E54" s="88"/>
      <c r="F54" s="133"/>
      <c r="G54" s="136"/>
      <c r="H54" s="136"/>
      <c r="I54" s="105"/>
      <c r="J54" s="368">
        <f>'As-Filed Schedule 3'!J54</f>
        <v>0</v>
      </c>
      <c r="K54" s="414">
        <f>'As-Filed Schedule 3'!K54</f>
        <v>0</v>
      </c>
      <c r="L54" s="416">
        <f>SUMIFS(Adjustments!$G:$G,Adjustments!$H:$H,"3",Adjustments!$I:$I,'Schedule 3 Adjustments'!$K$13,Adjustments!$J:$J,"8b")</f>
        <v>0</v>
      </c>
      <c r="M54" s="418">
        <f>SUM(K54:L54)</f>
        <v>0</v>
      </c>
      <c r="N54" s="90"/>
      <c r="O54" s="354"/>
      <c r="P54" s="88"/>
      <c r="Q54" s="350"/>
      <c r="R54" s="354"/>
      <c r="S54" s="88"/>
      <c r="T54" s="354"/>
      <c r="U54" s="88"/>
      <c r="V54" s="350"/>
      <c r="W54" s="354"/>
      <c r="X54" s="88"/>
      <c r="Y54" s="354"/>
      <c r="Z54" s="88"/>
      <c r="AA54" s="354"/>
      <c r="AB54" s="88"/>
      <c r="AC54" s="354"/>
    </row>
    <row r="55" spans="1:29" x14ac:dyDescent="0.35">
      <c r="A55" s="103" t="s">
        <v>449</v>
      </c>
      <c r="B55" s="88"/>
      <c r="C55" s="88"/>
      <c r="D55" s="88"/>
      <c r="E55" s="88"/>
      <c r="F55" s="133"/>
      <c r="G55" s="136"/>
      <c r="H55" s="136"/>
      <c r="I55" s="105"/>
      <c r="J55" s="368">
        <f>'As-Filed Schedule 3'!J55</f>
        <v>0</v>
      </c>
      <c r="K55" s="414">
        <f>'As-Filed Schedule 3'!K55</f>
        <v>0</v>
      </c>
      <c r="L55" s="416">
        <f>SUMIFS(Adjustments!$G:$G,Adjustments!$H:$H,"3",Adjustments!$I:$I,'Schedule 3 Adjustments'!$K$13,Adjustments!$J:$J,"8c")</f>
        <v>0</v>
      </c>
      <c r="M55" s="418">
        <f>SUM(K55:L55)</f>
        <v>0</v>
      </c>
      <c r="N55" s="90"/>
      <c r="O55" s="354"/>
      <c r="P55" s="88"/>
      <c r="Q55" s="350"/>
      <c r="R55" s="354"/>
      <c r="S55" s="88"/>
      <c r="T55" s="354"/>
      <c r="U55" s="88"/>
      <c r="V55" s="350"/>
      <c r="W55" s="354"/>
      <c r="X55" s="88"/>
      <c r="Y55" s="354"/>
      <c r="Z55" s="88"/>
      <c r="AA55" s="354"/>
      <c r="AB55" s="88"/>
      <c r="AC55" s="354"/>
    </row>
    <row r="56" spans="1:29" x14ac:dyDescent="0.35">
      <c r="J56" s="100"/>
      <c r="N56" s="28"/>
      <c r="O56" s="346"/>
    </row>
    <row r="57" spans="1:29" s="34" customFormat="1" x14ac:dyDescent="0.35">
      <c r="A57" s="84">
        <v>9</v>
      </c>
      <c r="B57" s="518">
        <f>'As-Filed Schedule 3'!B57:C57</f>
        <v>0</v>
      </c>
      <c r="C57" s="519"/>
      <c r="D57" s="364">
        <f>'As-Filed Schedule 3'!D57</f>
        <v>0</v>
      </c>
      <c r="E57" s="364">
        <f>'As-Filed Schedule 3'!E57</f>
        <v>0</v>
      </c>
      <c r="F57" s="363">
        <f>'As-Filed Schedule 3'!F57</f>
        <v>0</v>
      </c>
      <c r="G57" s="362">
        <f>'As-Filed Schedule 3'!G57</f>
        <v>0</v>
      </c>
      <c r="H57" s="362">
        <f>'As-Filed Schedule 3'!H57</f>
        <v>0</v>
      </c>
      <c r="I57" s="139" t="str">
        <f>IF(B57=0,"",IF(AND(G57=0,H57=0),365,IF(AND(G57&gt;0,H57=0),$C$6-G57+1,IF(AND(G57=0,H57&gt;0),H57-($C$6-365),H57-G57+1))))</f>
        <v/>
      </c>
      <c r="J57" s="98"/>
      <c r="K57" s="413">
        <f>SUM(K58:K60)</f>
        <v>0</v>
      </c>
      <c r="L57" s="415">
        <f>SUM(L58:L60)</f>
        <v>0</v>
      </c>
      <c r="M57" s="417">
        <f>SUM(M58:M60)</f>
        <v>0</v>
      </c>
      <c r="N57" s="91" t="str">
        <f>IF(K57&gt;0,K57/(F57*I57),"")</f>
        <v/>
      </c>
      <c r="O57" s="345" t="str">
        <f>IF(M57&gt;0,M57/(F57*I57),"")</f>
        <v/>
      </c>
      <c r="P57" s="126">
        <f>'As-Filed Schedule 3'!M57</f>
        <v>0</v>
      </c>
      <c r="Q57" s="348">
        <f>SUMIFS(Adjustments!$G:$G,Adjustments!$H:$H,"3",Adjustments!$I:$I,'Schedule 3 Adjustments'!$P$13,Adjustments!$J:$J,'As-Filed Schedule 3'!A57)</f>
        <v>0</v>
      </c>
      <c r="R57" s="352">
        <f>SUM(P57:Q57)</f>
        <v>0</v>
      </c>
      <c r="S57" s="85" t="str">
        <f>IFERROR(P57/K57,"")</f>
        <v/>
      </c>
      <c r="T57" s="356" t="str">
        <f>IFERROR(R57/M57,"")</f>
        <v/>
      </c>
      <c r="U57" s="126">
        <f>'As-Filed Schedule 3'!O57</f>
        <v>0</v>
      </c>
      <c r="V57" s="348">
        <f>SUMIFS(Adjustments!$G:$G,Adjustments!$H:$H,"3",Adjustments!$I:$I,'Schedule 3 Adjustments'!$U$13,Adjustments!$J:$J,$A57)</f>
        <v>0</v>
      </c>
      <c r="W57" s="352">
        <f>SUM(U57:V57)</f>
        <v>0</v>
      </c>
      <c r="X57" s="85" t="str">
        <f>IFERROR(U57/K57,"")</f>
        <v/>
      </c>
      <c r="Y57" s="85" t="str">
        <f>IFERROR(W57/M57,"")</f>
        <v/>
      </c>
      <c r="Z57" s="86" t="str">
        <f>IF(P57=0,"",P57-U57)</f>
        <v/>
      </c>
      <c r="AA57" s="358" t="str">
        <f>IF(R57=0,"",R57-W57)</f>
        <v/>
      </c>
      <c r="AB57" s="85" t="str">
        <f>IFERROR(Z57/K57,"")</f>
        <v/>
      </c>
      <c r="AC57" s="356" t="str">
        <f>IFERROR(AA57/M57,"")</f>
        <v/>
      </c>
    </row>
    <row r="58" spans="1:29" x14ac:dyDescent="0.35">
      <c r="A58" s="101" t="s">
        <v>447</v>
      </c>
      <c r="B58" s="87"/>
      <c r="C58" s="87"/>
      <c r="D58" s="87"/>
      <c r="E58" s="87"/>
      <c r="F58" s="132"/>
      <c r="G58" s="135"/>
      <c r="H58" s="135"/>
      <c r="I58" s="104"/>
      <c r="J58" s="368">
        <f>'As-Filed Schedule 3'!J58</f>
        <v>0</v>
      </c>
      <c r="K58" s="414">
        <f>'As-Filed Schedule 3'!K58</f>
        <v>0</v>
      </c>
      <c r="L58" s="416">
        <f>SUMIFS(Adjustments!$G:$G,Adjustments!$H:$H,"3",Adjustments!$I:$I,'Schedule 3 Adjustments'!$K$13,Adjustments!$J:$J,"9a")</f>
        <v>0</v>
      </c>
      <c r="M58" s="418">
        <f>SUM(K58:L58)</f>
        <v>0</v>
      </c>
      <c r="N58" s="89"/>
      <c r="O58" s="353"/>
      <c r="P58" s="87"/>
      <c r="Q58" s="349"/>
      <c r="R58" s="353"/>
      <c r="S58" s="87"/>
      <c r="T58" s="353"/>
      <c r="U58" s="87"/>
      <c r="V58" s="349"/>
      <c r="W58" s="353"/>
      <c r="X58" s="87"/>
      <c r="Y58" s="353"/>
      <c r="Z58" s="87"/>
      <c r="AA58" s="353"/>
      <c r="AB58" s="87"/>
      <c r="AC58" s="353"/>
    </row>
    <row r="59" spans="1:29" x14ac:dyDescent="0.35">
      <c r="A59" s="102" t="s">
        <v>448</v>
      </c>
      <c r="B59" s="88"/>
      <c r="C59" s="88"/>
      <c r="D59" s="88"/>
      <c r="E59" s="88"/>
      <c r="F59" s="133"/>
      <c r="G59" s="136"/>
      <c r="H59" s="136"/>
      <c r="I59" s="105"/>
      <c r="J59" s="368">
        <f>'As-Filed Schedule 3'!J59</f>
        <v>0</v>
      </c>
      <c r="K59" s="414">
        <f>'As-Filed Schedule 3'!K59</f>
        <v>0</v>
      </c>
      <c r="L59" s="416">
        <f>SUMIFS(Adjustments!$G:$G,Adjustments!$H:$H,"3",Adjustments!$I:$I,'Schedule 3 Adjustments'!$K$13,Adjustments!$J:$J,"9b")</f>
        <v>0</v>
      </c>
      <c r="M59" s="418">
        <f>SUM(K59:L59)</f>
        <v>0</v>
      </c>
      <c r="N59" s="90"/>
      <c r="O59" s="354"/>
      <c r="P59" s="88"/>
      <c r="Q59" s="350"/>
      <c r="R59" s="354"/>
      <c r="S59" s="88"/>
      <c r="T59" s="354"/>
      <c r="U59" s="88"/>
      <c r="V59" s="350"/>
      <c r="W59" s="354"/>
      <c r="X59" s="88"/>
      <c r="Y59" s="354"/>
      <c r="Z59" s="88"/>
      <c r="AA59" s="354"/>
      <c r="AB59" s="88"/>
      <c r="AC59" s="354"/>
    </row>
    <row r="60" spans="1:29" x14ac:dyDescent="0.35">
      <c r="A60" s="103" t="s">
        <v>449</v>
      </c>
      <c r="B60" s="88"/>
      <c r="C60" s="88"/>
      <c r="D60" s="88"/>
      <c r="E60" s="88"/>
      <c r="F60" s="133"/>
      <c r="G60" s="136"/>
      <c r="H60" s="136"/>
      <c r="I60" s="105"/>
      <c r="J60" s="368">
        <f>'As-Filed Schedule 3'!J60</f>
        <v>0</v>
      </c>
      <c r="K60" s="414">
        <f>'As-Filed Schedule 3'!K60</f>
        <v>0</v>
      </c>
      <c r="L60" s="416">
        <f>SUMIFS(Adjustments!$G:$G,Adjustments!$H:$H,"3",Adjustments!$I:$I,'Schedule 3 Adjustments'!$K$13,Adjustments!$J:$J,"9c")</f>
        <v>0</v>
      </c>
      <c r="M60" s="418">
        <f>SUM(K60:L60)</f>
        <v>0</v>
      </c>
      <c r="N60" s="90"/>
      <c r="O60" s="354"/>
      <c r="P60" s="88"/>
      <c r="Q60" s="350"/>
      <c r="R60" s="354"/>
      <c r="S60" s="88"/>
      <c r="T60" s="354"/>
      <c r="U60" s="88"/>
      <c r="V60" s="350"/>
      <c r="W60" s="354"/>
      <c r="X60" s="88"/>
      <c r="Y60" s="354"/>
      <c r="Z60" s="88"/>
      <c r="AA60" s="354"/>
      <c r="AB60" s="88"/>
      <c r="AC60" s="354"/>
    </row>
    <row r="61" spans="1:29" x14ac:dyDescent="0.35">
      <c r="J61" s="100"/>
      <c r="N61" s="28"/>
      <c r="O61" s="346"/>
    </row>
    <row r="62" spans="1:29" s="34" customFormat="1" x14ac:dyDescent="0.35">
      <c r="A62" s="84">
        <v>10</v>
      </c>
      <c r="B62" s="518">
        <f>'As-Filed Schedule 3'!B62:C62</f>
        <v>0</v>
      </c>
      <c r="C62" s="519"/>
      <c r="D62" s="364">
        <f>'As-Filed Schedule 3'!D62</f>
        <v>0</v>
      </c>
      <c r="E62" s="364">
        <f>'As-Filed Schedule 3'!E62</f>
        <v>0</v>
      </c>
      <c r="F62" s="363">
        <f>'As-Filed Schedule 3'!F62</f>
        <v>0</v>
      </c>
      <c r="G62" s="362">
        <f>'As-Filed Schedule 3'!G62</f>
        <v>0</v>
      </c>
      <c r="H62" s="362">
        <f>'As-Filed Schedule 3'!H62</f>
        <v>0</v>
      </c>
      <c r="I62" s="139" t="str">
        <f>IF(B62=0,"",IF(AND(G62=0,H62=0),365,IF(AND(G62&gt;0,H62=0),$C$6-G62+1,IF(AND(G62=0,H62&gt;0),H62-($C$6-365),H62-G62+1))))</f>
        <v/>
      </c>
      <c r="J62" s="98"/>
      <c r="K62" s="413">
        <f>SUM(K63:K65)</f>
        <v>0</v>
      </c>
      <c r="L62" s="415">
        <f>SUM(L63:L65)</f>
        <v>0</v>
      </c>
      <c r="M62" s="417">
        <f>SUM(M63:M65)</f>
        <v>0</v>
      </c>
      <c r="N62" s="91" t="str">
        <f>IF(K62&gt;0,K62/(F62*I62),"")</f>
        <v/>
      </c>
      <c r="O62" s="345" t="str">
        <f>IF(M62&gt;0,M62/(F62*I62),"")</f>
        <v/>
      </c>
      <c r="P62" s="126">
        <f>'As-Filed Schedule 3'!M62</f>
        <v>0</v>
      </c>
      <c r="Q62" s="348">
        <f>SUMIFS(Adjustments!$G:$G,Adjustments!$H:$H,"3",Adjustments!$I:$I,'Schedule 3 Adjustments'!$P$13,Adjustments!$J:$J,'As-Filed Schedule 3'!A62)</f>
        <v>0</v>
      </c>
      <c r="R62" s="352">
        <f>SUM(P62:Q62)</f>
        <v>0</v>
      </c>
      <c r="S62" s="85" t="str">
        <f>IFERROR(P62/K62,"")</f>
        <v/>
      </c>
      <c r="T62" s="356" t="str">
        <f>IFERROR(R62/M62,"")</f>
        <v/>
      </c>
      <c r="U62" s="126">
        <f>'As-Filed Schedule 3'!O62</f>
        <v>0</v>
      </c>
      <c r="V62" s="348">
        <f>SUMIFS(Adjustments!$G:$G,Adjustments!$H:$H,"3",Adjustments!$I:$I,'Schedule 3 Adjustments'!$U$13,Adjustments!$J:$J,$A62)</f>
        <v>0</v>
      </c>
      <c r="W62" s="352">
        <f>SUM(U62:V62)</f>
        <v>0</v>
      </c>
      <c r="X62" s="85" t="str">
        <f>IFERROR(U62/K62,"")</f>
        <v/>
      </c>
      <c r="Y62" s="85" t="str">
        <f>IFERROR(W62/M62,"")</f>
        <v/>
      </c>
      <c r="Z62" s="86" t="str">
        <f>IF(P62=0,"",P62-U62)</f>
        <v/>
      </c>
      <c r="AA62" s="358" t="str">
        <f>IF(R62=0,"",R62-W62)</f>
        <v/>
      </c>
      <c r="AB62" s="85" t="str">
        <f>IFERROR(Z62/K62,"")</f>
        <v/>
      </c>
      <c r="AC62" s="356" t="str">
        <f>IFERROR(AA62/M62,"")</f>
        <v/>
      </c>
    </row>
    <row r="63" spans="1:29" x14ac:dyDescent="0.35">
      <c r="A63" s="101" t="s">
        <v>447</v>
      </c>
      <c r="B63" s="87"/>
      <c r="C63" s="87"/>
      <c r="D63" s="87"/>
      <c r="E63" s="87"/>
      <c r="F63" s="132"/>
      <c r="G63" s="135"/>
      <c r="H63" s="135"/>
      <c r="I63" s="104"/>
      <c r="J63" s="368">
        <f>'As-Filed Schedule 3'!J63</f>
        <v>0</v>
      </c>
      <c r="K63" s="414">
        <f>'As-Filed Schedule 3'!K63</f>
        <v>0</v>
      </c>
      <c r="L63" s="416">
        <f>SUMIFS(Adjustments!$G:$G,Adjustments!$H:$H,"3",Adjustments!$I:$I,'Schedule 3 Adjustments'!$K$13,Adjustments!$J:$J,"10a")</f>
        <v>0</v>
      </c>
      <c r="M63" s="418">
        <f>SUM(K63:L63)</f>
        <v>0</v>
      </c>
      <c r="N63" s="89"/>
      <c r="O63" s="353"/>
      <c r="P63" s="87"/>
      <c r="Q63" s="349"/>
      <c r="R63" s="353"/>
      <c r="S63" s="87"/>
      <c r="T63" s="353"/>
      <c r="U63" s="87"/>
      <c r="V63" s="349"/>
      <c r="W63" s="353"/>
      <c r="X63" s="87"/>
      <c r="Y63" s="353"/>
      <c r="Z63" s="87"/>
      <c r="AA63" s="353"/>
      <c r="AB63" s="87"/>
      <c r="AC63" s="353"/>
    </row>
    <row r="64" spans="1:29" x14ac:dyDescent="0.35">
      <c r="A64" s="102" t="s">
        <v>448</v>
      </c>
      <c r="B64" s="88"/>
      <c r="C64" s="88"/>
      <c r="D64" s="88"/>
      <c r="E64" s="88"/>
      <c r="F64" s="133"/>
      <c r="G64" s="136"/>
      <c r="H64" s="136"/>
      <c r="I64" s="105"/>
      <c r="J64" s="368">
        <f>'As-Filed Schedule 3'!J64</f>
        <v>0</v>
      </c>
      <c r="K64" s="414">
        <f>'As-Filed Schedule 3'!K64</f>
        <v>0</v>
      </c>
      <c r="L64" s="416">
        <f>SUMIFS(Adjustments!$G:$G,Adjustments!$H:$H,"3",Adjustments!$I:$I,'Schedule 3 Adjustments'!$K$13,Adjustments!$J:$J,"10b")</f>
        <v>0</v>
      </c>
      <c r="M64" s="418">
        <f>SUM(K64:L64)</f>
        <v>0</v>
      </c>
      <c r="N64" s="90"/>
      <c r="O64" s="354"/>
      <c r="P64" s="88"/>
      <c r="Q64" s="350"/>
      <c r="R64" s="354"/>
      <c r="S64" s="88"/>
      <c r="T64" s="354"/>
      <c r="U64" s="88"/>
      <c r="V64" s="350"/>
      <c r="W64" s="354"/>
      <c r="X64" s="88"/>
      <c r="Y64" s="354"/>
      <c r="Z64" s="88"/>
      <c r="AA64" s="354"/>
      <c r="AB64" s="88"/>
      <c r="AC64" s="354"/>
    </row>
    <row r="65" spans="1:29" x14ac:dyDescent="0.35">
      <c r="A65" s="103" t="s">
        <v>449</v>
      </c>
      <c r="B65" s="88"/>
      <c r="C65" s="88"/>
      <c r="D65" s="88"/>
      <c r="E65" s="88"/>
      <c r="F65" s="133"/>
      <c r="G65" s="136"/>
      <c r="H65" s="136"/>
      <c r="I65" s="105"/>
      <c r="J65" s="368">
        <f>'As-Filed Schedule 3'!J65</f>
        <v>0</v>
      </c>
      <c r="K65" s="414">
        <f>'As-Filed Schedule 3'!K65</f>
        <v>0</v>
      </c>
      <c r="L65" s="416">
        <f>SUMIFS(Adjustments!$G:$G,Adjustments!$H:$H,"3",Adjustments!$I:$I,'Schedule 3 Adjustments'!$K$13,Adjustments!$J:$J,"10c")</f>
        <v>0</v>
      </c>
      <c r="M65" s="418">
        <f>SUM(K65:L65)</f>
        <v>0</v>
      </c>
      <c r="N65" s="90"/>
      <c r="O65" s="354"/>
      <c r="P65" s="88"/>
      <c r="Q65" s="350"/>
      <c r="R65" s="354"/>
      <c r="S65" s="88"/>
      <c r="T65" s="354"/>
      <c r="U65" s="88"/>
      <c r="V65" s="350"/>
      <c r="W65" s="354"/>
      <c r="X65" s="88"/>
      <c r="Y65" s="354"/>
      <c r="Z65" s="88"/>
      <c r="AA65" s="354"/>
      <c r="AB65" s="88"/>
      <c r="AC65" s="354"/>
    </row>
    <row r="66" spans="1:29" x14ac:dyDescent="0.35">
      <c r="J66" s="100"/>
      <c r="N66" s="28"/>
      <c r="O66" s="346"/>
    </row>
    <row r="67" spans="1:29" s="34" customFormat="1" x14ac:dyDescent="0.35">
      <c r="A67" s="84">
        <v>11</v>
      </c>
      <c r="B67" s="518">
        <f>'As-Filed Schedule 3'!B67:C67</f>
        <v>0</v>
      </c>
      <c r="C67" s="519"/>
      <c r="D67" s="364">
        <f>'As-Filed Schedule 3'!D67</f>
        <v>0</v>
      </c>
      <c r="E67" s="364">
        <f>'As-Filed Schedule 3'!E67</f>
        <v>0</v>
      </c>
      <c r="F67" s="363">
        <f>'As-Filed Schedule 3'!F67</f>
        <v>0</v>
      </c>
      <c r="G67" s="362">
        <f>'As-Filed Schedule 3'!G67</f>
        <v>0</v>
      </c>
      <c r="H67" s="362">
        <f>'As-Filed Schedule 3'!H67</f>
        <v>0</v>
      </c>
      <c r="I67" s="139" t="str">
        <f>IF(B67=0,"",IF(AND(G67=0,H67=0),365,IF(AND(G67&gt;0,H67=0),$C$6-G67+1,IF(AND(G67=0,H67&gt;0),H67-($C$6-365),H67-G67+1))))</f>
        <v/>
      </c>
      <c r="J67" s="98"/>
      <c r="K67" s="413">
        <f>SUM(K68:K70)</f>
        <v>0</v>
      </c>
      <c r="L67" s="415">
        <f>SUM(L68:L70)</f>
        <v>0</v>
      </c>
      <c r="M67" s="417">
        <f>SUM(M68:M70)</f>
        <v>0</v>
      </c>
      <c r="N67" s="91" t="str">
        <f>IF(K67&gt;0,K67/(F67*I67),"")</f>
        <v/>
      </c>
      <c r="O67" s="345" t="str">
        <f>IF(M67&gt;0,M67/(F67*I67),"")</f>
        <v/>
      </c>
      <c r="P67" s="126">
        <f>'As-Filed Schedule 3'!M67</f>
        <v>0</v>
      </c>
      <c r="Q67" s="348">
        <f>SUMIFS(Adjustments!$G:$G,Adjustments!$H:$H,"3",Adjustments!$I:$I,'Schedule 3 Adjustments'!$P$13,Adjustments!$J:$J,'As-Filed Schedule 3'!A67)</f>
        <v>0</v>
      </c>
      <c r="R67" s="352">
        <f>SUM(P67:Q67)</f>
        <v>0</v>
      </c>
      <c r="S67" s="85" t="str">
        <f>IFERROR(P67/K67,"")</f>
        <v/>
      </c>
      <c r="T67" s="356" t="str">
        <f>IFERROR(R67/M67,"")</f>
        <v/>
      </c>
      <c r="U67" s="126">
        <f>'As-Filed Schedule 3'!O67</f>
        <v>0</v>
      </c>
      <c r="V67" s="348">
        <f>SUMIFS(Adjustments!$G:$G,Adjustments!$H:$H,"3",Adjustments!$I:$I,'Schedule 3 Adjustments'!$U$13,Adjustments!$J:$J,$A67)</f>
        <v>0</v>
      </c>
      <c r="W67" s="352">
        <f>SUM(U67:V67)</f>
        <v>0</v>
      </c>
      <c r="X67" s="85" t="str">
        <f>IFERROR(U67/K67,"")</f>
        <v/>
      </c>
      <c r="Y67" s="85" t="str">
        <f>IFERROR(W67/M67,"")</f>
        <v/>
      </c>
      <c r="Z67" s="86" t="str">
        <f>IF(P67=0,"",P67-U67)</f>
        <v/>
      </c>
      <c r="AA67" s="358" t="str">
        <f>IF(R67=0,"",R67-W67)</f>
        <v/>
      </c>
      <c r="AB67" s="85" t="str">
        <f>IFERROR(Z67/K67,"")</f>
        <v/>
      </c>
      <c r="AC67" s="356" t="str">
        <f>IFERROR(AA67/M67,"")</f>
        <v/>
      </c>
    </row>
    <row r="68" spans="1:29" x14ac:dyDescent="0.35">
      <c r="A68" s="101" t="s">
        <v>447</v>
      </c>
      <c r="B68" s="87"/>
      <c r="C68" s="87"/>
      <c r="D68" s="87"/>
      <c r="E68" s="87"/>
      <c r="F68" s="132"/>
      <c r="G68" s="135"/>
      <c r="H68" s="135"/>
      <c r="I68" s="104"/>
      <c r="J68" s="368">
        <f>'As-Filed Schedule 3'!J68</f>
        <v>0</v>
      </c>
      <c r="K68" s="414">
        <f>'As-Filed Schedule 3'!K68</f>
        <v>0</v>
      </c>
      <c r="L68" s="416">
        <f>SUMIFS(Adjustments!$G:$G,Adjustments!$H:$H,"3",Adjustments!$I:$I,'Schedule 3 Adjustments'!$K$13,Adjustments!$J:$J,"11a")</f>
        <v>0</v>
      </c>
      <c r="M68" s="418">
        <f>SUM(K68:L68)</f>
        <v>0</v>
      </c>
      <c r="N68" s="89"/>
      <c r="O68" s="353"/>
      <c r="P68" s="87"/>
      <c r="Q68" s="349"/>
      <c r="R68" s="353"/>
      <c r="S68" s="87"/>
      <c r="T68" s="353"/>
      <c r="U68" s="87"/>
      <c r="V68" s="349"/>
      <c r="W68" s="353"/>
      <c r="X68" s="87"/>
      <c r="Y68" s="353"/>
      <c r="Z68" s="87"/>
      <c r="AA68" s="353"/>
      <c r="AB68" s="87"/>
      <c r="AC68" s="353"/>
    </row>
    <row r="69" spans="1:29" x14ac:dyDescent="0.35">
      <c r="A69" s="102" t="s">
        <v>448</v>
      </c>
      <c r="B69" s="88"/>
      <c r="C69" s="88"/>
      <c r="D69" s="88"/>
      <c r="E69" s="88"/>
      <c r="F69" s="133"/>
      <c r="G69" s="136"/>
      <c r="H69" s="136"/>
      <c r="I69" s="105"/>
      <c r="J69" s="368">
        <f>'As-Filed Schedule 3'!J69</f>
        <v>0</v>
      </c>
      <c r="K69" s="414">
        <f>'As-Filed Schedule 3'!K69</f>
        <v>0</v>
      </c>
      <c r="L69" s="416">
        <f>SUMIFS(Adjustments!$G:$G,Adjustments!$H:$H,"3",Adjustments!$I:$I,'Schedule 3 Adjustments'!$K$13,Adjustments!$J:$J,"11b")</f>
        <v>0</v>
      </c>
      <c r="M69" s="418">
        <f>SUM(K69:L69)</f>
        <v>0</v>
      </c>
      <c r="N69" s="90"/>
      <c r="O69" s="354"/>
      <c r="P69" s="88"/>
      <c r="Q69" s="350"/>
      <c r="R69" s="354"/>
      <c r="S69" s="88"/>
      <c r="T69" s="354"/>
      <c r="U69" s="88"/>
      <c r="V69" s="350"/>
      <c r="W69" s="354"/>
      <c r="X69" s="88"/>
      <c r="Y69" s="354"/>
      <c r="Z69" s="88"/>
      <c r="AA69" s="354"/>
      <c r="AB69" s="88"/>
      <c r="AC69" s="354"/>
    </row>
    <row r="70" spans="1:29" x14ac:dyDescent="0.35">
      <c r="A70" s="103" t="s">
        <v>449</v>
      </c>
      <c r="B70" s="88"/>
      <c r="C70" s="88"/>
      <c r="D70" s="88"/>
      <c r="E70" s="88"/>
      <c r="F70" s="133"/>
      <c r="G70" s="136"/>
      <c r="H70" s="136"/>
      <c r="I70" s="105"/>
      <c r="J70" s="368">
        <f>'As-Filed Schedule 3'!J70</f>
        <v>0</v>
      </c>
      <c r="K70" s="414">
        <f>'As-Filed Schedule 3'!K70</f>
        <v>0</v>
      </c>
      <c r="L70" s="416">
        <f>SUMIFS(Adjustments!$G:$G,Adjustments!$H:$H,"3",Adjustments!$I:$I,'Schedule 3 Adjustments'!$K$13,Adjustments!$J:$J,"11c")</f>
        <v>0</v>
      </c>
      <c r="M70" s="418">
        <f>SUM(K70:L70)</f>
        <v>0</v>
      </c>
      <c r="N70" s="90"/>
      <c r="O70" s="354"/>
      <c r="P70" s="88"/>
      <c r="Q70" s="350"/>
      <c r="R70" s="354"/>
      <c r="S70" s="88"/>
      <c r="T70" s="354"/>
      <c r="U70" s="88"/>
      <c r="V70" s="350"/>
      <c r="W70" s="354"/>
      <c r="X70" s="88"/>
      <c r="Y70" s="354"/>
      <c r="Z70" s="88"/>
      <c r="AA70" s="354"/>
      <c r="AB70" s="88"/>
      <c r="AC70" s="354"/>
    </row>
    <row r="71" spans="1:29" x14ac:dyDescent="0.35">
      <c r="J71" s="100"/>
      <c r="N71" s="28"/>
      <c r="O71" s="346"/>
    </row>
    <row r="72" spans="1:29" s="34" customFormat="1" x14ac:dyDescent="0.35">
      <c r="A72" s="84">
        <v>12</v>
      </c>
      <c r="B72" s="518">
        <f>'As-Filed Schedule 3'!B72:C72</f>
        <v>0</v>
      </c>
      <c r="C72" s="519"/>
      <c r="D72" s="364">
        <f>'As-Filed Schedule 3'!D72</f>
        <v>0</v>
      </c>
      <c r="E72" s="364">
        <f>'As-Filed Schedule 3'!E72</f>
        <v>0</v>
      </c>
      <c r="F72" s="363">
        <f>'As-Filed Schedule 3'!F72</f>
        <v>0</v>
      </c>
      <c r="G72" s="362">
        <f>'As-Filed Schedule 3'!G72</f>
        <v>0</v>
      </c>
      <c r="H72" s="362">
        <f>'As-Filed Schedule 3'!H72</f>
        <v>0</v>
      </c>
      <c r="I72" s="139" t="str">
        <f>IF(B72=0,"",IF(AND(G72=0,H72=0),365,IF(AND(G72&gt;0,H72=0),$C$6-G72+1,IF(AND(G72=0,H72&gt;0),H72-($C$6-365),H72-G72+1))))</f>
        <v/>
      </c>
      <c r="J72" s="98"/>
      <c r="K72" s="413">
        <f>SUM(K73:K75)</f>
        <v>0</v>
      </c>
      <c r="L72" s="415">
        <f>SUM(L73:L75)</f>
        <v>0</v>
      </c>
      <c r="M72" s="417">
        <f>SUM(M73:M75)</f>
        <v>0</v>
      </c>
      <c r="N72" s="91" t="str">
        <f>IF(K72&gt;0,K72/(F72*I72),"")</f>
        <v/>
      </c>
      <c r="O72" s="345" t="str">
        <f>IF(M72&gt;0,M72/(F72*I72),"")</f>
        <v/>
      </c>
      <c r="P72" s="126">
        <f>'As-Filed Schedule 3'!M72</f>
        <v>0</v>
      </c>
      <c r="Q72" s="348">
        <f>SUMIFS(Adjustments!$G:$G,Adjustments!$H:$H,"3",Adjustments!$I:$I,'Schedule 3 Adjustments'!$P$13,Adjustments!$J:$J,'As-Filed Schedule 3'!A72)</f>
        <v>0</v>
      </c>
      <c r="R72" s="352">
        <f>SUM(P72:Q72)</f>
        <v>0</v>
      </c>
      <c r="S72" s="85" t="str">
        <f>IFERROR(P72/K72,"")</f>
        <v/>
      </c>
      <c r="T72" s="356" t="str">
        <f>IFERROR(R72/M72,"")</f>
        <v/>
      </c>
      <c r="U72" s="126">
        <f>'As-Filed Schedule 3'!O72</f>
        <v>0</v>
      </c>
      <c r="V72" s="348">
        <f>SUMIFS(Adjustments!$G:$G,Adjustments!$H:$H,"3",Adjustments!$I:$I,'Schedule 3 Adjustments'!$U$13,Adjustments!$J:$J,$A72)</f>
        <v>0</v>
      </c>
      <c r="W72" s="352">
        <f>SUM(U72:V72)</f>
        <v>0</v>
      </c>
      <c r="X72" s="85" t="str">
        <f>IFERROR(U72/K72,"")</f>
        <v/>
      </c>
      <c r="Y72" s="85" t="str">
        <f>IFERROR(W72/M72,"")</f>
        <v/>
      </c>
      <c r="Z72" s="86" t="str">
        <f>IF(P72=0,"",P72-U72)</f>
        <v/>
      </c>
      <c r="AA72" s="358" t="str">
        <f>IF(R72=0,"",R72-W72)</f>
        <v/>
      </c>
      <c r="AB72" s="85" t="str">
        <f>IFERROR(Z72/K72,"")</f>
        <v/>
      </c>
      <c r="AC72" s="356" t="str">
        <f>IFERROR(AA72/M72,"")</f>
        <v/>
      </c>
    </row>
    <row r="73" spans="1:29" x14ac:dyDescent="0.35">
      <c r="A73" s="101" t="s">
        <v>447</v>
      </c>
      <c r="B73" s="87"/>
      <c r="C73" s="87"/>
      <c r="D73" s="87"/>
      <c r="E73" s="87"/>
      <c r="F73" s="132"/>
      <c r="G73" s="135"/>
      <c r="H73" s="135"/>
      <c r="I73" s="104"/>
      <c r="J73" s="368">
        <f>'As-Filed Schedule 3'!J73</f>
        <v>0</v>
      </c>
      <c r="K73" s="414">
        <f>'As-Filed Schedule 3'!K73</f>
        <v>0</v>
      </c>
      <c r="L73" s="416">
        <f>SUMIFS(Adjustments!$G:$G,Adjustments!$H:$H,"3",Adjustments!$I:$I,'Schedule 3 Adjustments'!$K$13,Adjustments!$J:$J,"12a")</f>
        <v>0</v>
      </c>
      <c r="M73" s="418">
        <f>SUM(K73:L73)</f>
        <v>0</v>
      </c>
      <c r="N73" s="89"/>
      <c r="O73" s="353"/>
      <c r="P73" s="87"/>
      <c r="Q73" s="349"/>
      <c r="R73" s="353"/>
      <c r="S73" s="87"/>
      <c r="T73" s="353"/>
      <c r="U73" s="87"/>
      <c r="V73" s="349"/>
      <c r="W73" s="353"/>
      <c r="X73" s="87"/>
      <c r="Y73" s="353"/>
      <c r="Z73" s="87"/>
      <c r="AA73" s="353"/>
      <c r="AB73" s="87"/>
      <c r="AC73" s="353"/>
    </row>
    <row r="74" spans="1:29" x14ac:dyDescent="0.35">
      <c r="A74" s="102" t="s">
        <v>448</v>
      </c>
      <c r="B74" s="88"/>
      <c r="C74" s="88"/>
      <c r="D74" s="88"/>
      <c r="E74" s="88"/>
      <c r="F74" s="133"/>
      <c r="G74" s="136"/>
      <c r="H74" s="136"/>
      <c r="I74" s="105"/>
      <c r="J74" s="368">
        <f>'As-Filed Schedule 3'!J74</f>
        <v>0</v>
      </c>
      <c r="K74" s="414">
        <f>'As-Filed Schedule 3'!K74</f>
        <v>0</v>
      </c>
      <c r="L74" s="416">
        <f>SUMIFS(Adjustments!$G:$G,Adjustments!$H:$H,"3",Adjustments!$I:$I,'Schedule 3 Adjustments'!$K$13,Adjustments!$J:$J,"12b")</f>
        <v>0</v>
      </c>
      <c r="M74" s="418">
        <f>SUM(K74:L74)</f>
        <v>0</v>
      </c>
      <c r="N74" s="90"/>
      <c r="O74" s="354"/>
      <c r="P74" s="88"/>
      <c r="Q74" s="350"/>
      <c r="R74" s="354"/>
      <c r="S74" s="88"/>
      <c r="T74" s="354"/>
      <c r="U74" s="88"/>
      <c r="V74" s="350"/>
      <c r="W74" s="354"/>
      <c r="X74" s="88"/>
      <c r="Y74" s="354"/>
      <c r="Z74" s="88"/>
      <c r="AA74" s="354"/>
      <c r="AB74" s="88"/>
      <c r="AC74" s="354"/>
    </row>
    <row r="75" spans="1:29" x14ac:dyDescent="0.35">
      <c r="A75" s="103" t="s">
        <v>449</v>
      </c>
      <c r="B75" s="88"/>
      <c r="C75" s="88"/>
      <c r="D75" s="88"/>
      <c r="E75" s="88"/>
      <c r="F75" s="133"/>
      <c r="G75" s="136"/>
      <c r="H75" s="136"/>
      <c r="I75" s="105"/>
      <c r="J75" s="368">
        <f>'As-Filed Schedule 3'!J75</f>
        <v>0</v>
      </c>
      <c r="K75" s="414">
        <f>'As-Filed Schedule 3'!K75</f>
        <v>0</v>
      </c>
      <c r="L75" s="416">
        <f>SUMIFS(Adjustments!$G:$G,Adjustments!$H:$H,"3",Adjustments!$I:$I,'Schedule 3 Adjustments'!$K$13,Adjustments!$J:$J,"12c")</f>
        <v>0</v>
      </c>
      <c r="M75" s="418">
        <f>SUM(K75:L75)</f>
        <v>0</v>
      </c>
      <c r="N75" s="90"/>
      <c r="O75" s="354"/>
      <c r="P75" s="88"/>
      <c r="Q75" s="350"/>
      <c r="R75" s="354"/>
      <c r="S75" s="88"/>
      <c r="T75" s="354"/>
      <c r="U75" s="88"/>
      <c r="V75" s="350"/>
      <c r="W75" s="354"/>
      <c r="X75" s="88"/>
      <c r="Y75" s="354"/>
      <c r="Z75" s="88"/>
      <c r="AA75" s="354"/>
      <c r="AB75" s="88"/>
      <c r="AC75" s="354"/>
    </row>
    <row r="76" spans="1:29" x14ac:dyDescent="0.35">
      <c r="J76" s="100"/>
      <c r="N76" s="28"/>
      <c r="O76" s="346"/>
    </row>
    <row r="77" spans="1:29" s="34" customFormat="1" x14ac:dyDescent="0.35">
      <c r="A77" s="84">
        <v>13</v>
      </c>
      <c r="B77" s="518">
        <f>'As-Filed Schedule 3'!B77:C77</f>
        <v>0</v>
      </c>
      <c r="C77" s="519"/>
      <c r="D77" s="364">
        <f>'As-Filed Schedule 3'!D77</f>
        <v>0</v>
      </c>
      <c r="E77" s="364">
        <f>'As-Filed Schedule 3'!E77</f>
        <v>0</v>
      </c>
      <c r="F77" s="363">
        <f>'As-Filed Schedule 3'!F77</f>
        <v>0</v>
      </c>
      <c r="G77" s="362">
        <f>'As-Filed Schedule 3'!G77</f>
        <v>0</v>
      </c>
      <c r="H77" s="362">
        <f>'As-Filed Schedule 3'!H77</f>
        <v>0</v>
      </c>
      <c r="I77" s="139" t="str">
        <f>IF(B77=0,"",IF(AND(G77=0,H77=0),365,IF(AND(G77&gt;0,H77=0),$C$6-G77+1,IF(AND(G77=0,H77&gt;0),H77-($C$6-365),H77-G77+1))))</f>
        <v/>
      </c>
      <c r="J77" s="98"/>
      <c r="K77" s="413">
        <f>SUM(K78:K80)</f>
        <v>0</v>
      </c>
      <c r="L77" s="415">
        <f>SUM(L78:L80)</f>
        <v>0</v>
      </c>
      <c r="M77" s="417">
        <f>SUM(M78:M80)</f>
        <v>0</v>
      </c>
      <c r="N77" s="91" t="str">
        <f>IF(K77&gt;0,K77/(F77*I77),"")</f>
        <v/>
      </c>
      <c r="O77" s="345" t="str">
        <f>IF(M77&gt;0,M77/(F77*I77),"")</f>
        <v/>
      </c>
      <c r="P77" s="126">
        <f>'As-Filed Schedule 3'!M77</f>
        <v>0</v>
      </c>
      <c r="Q77" s="348">
        <f>SUMIFS(Adjustments!$G:$G,Adjustments!$H:$H,"3",Adjustments!$I:$I,'Schedule 3 Adjustments'!$P$13,Adjustments!$J:$J,'As-Filed Schedule 3'!A77)</f>
        <v>0</v>
      </c>
      <c r="R77" s="352">
        <f>SUM(P77:Q77)</f>
        <v>0</v>
      </c>
      <c r="S77" s="85" t="str">
        <f>IFERROR(P77/K77,"")</f>
        <v/>
      </c>
      <c r="T77" s="356" t="str">
        <f>IFERROR(R77/M77,"")</f>
        <v/>
      </c>
      <c r="U77" s="126">
        <f>'As-Filed Schedule 3'!O77</f>
        <v>0</v>
      </c>
      <c r="V77" s="348">
        <f>SUMIFS(Adjustments!$G:$G,Adjustments!$H:$H,"3",Adjustments!$I:$I,'Schedule 3 Adjustments'!$U$13,Adjustments!$J:$J,$A77)</f>
        <v>0</v>
      </c>
      <c r="W77" s="352">
        <f>SUM(U77:V77)</f>
        <v>0</v>
      </c>
      <c r="X77" s="85" t="str">
        <f>IFERROR(U77/K77,"")</f>
        <v/>
      </c>
      <c r="Y77" s="85" t="str">
        <f>IFERROR(W77/M77,"")</f>
        <v/>
      </c>
      <c r="Z77" s="86" t="str">
        <f>IF(P77=0,"",P77-U77)</f>
        <v/>
      </c>
      <c r="AA77" s="358" t="str">
        <f>IF(R77=0,"",R77-W77)</f>
        <v/>
      </c>
      <c r="AB77" s="85" t="str">
        <f>IFERROR(Z77/K77,"")</f>
        <v/>
      </c>
      <c r="AC77" s="356" t="str">
        <f>IFERROR(AA77/M77,"")</f>
        <v/>
      </c>
    </row>
    <row r="78" spans="1:29" x14ac:dyDescent="0.35">
      <c r="A78" s="101" t="s">
        <v>447</v>
      </c>
      <c r="B78" s="87"/>
      <c r="C78" s="87"/>
      <c r="D78" s="87"/>
      <c r="E78" s="87"/>
      <c r="F78" s="132"/>
      <c r="G78" s="135"/>
      <c r="H78" s="135"/>
      <c r="I78" s="104"/>
      <c r="J78" s="368">
        <f>'As-Filed Schedule 3'!J78</f>
        <v>0</v>
      </c>
      <c r="K78" s="414">
        <f>'As-Filed Schedule 3'!K78</f>
        <v>0</v>
      </c>
      <c r="L78" s="416">
        <f>SUMIFS(Adjustments!$G:$G,Adjustments!$H:$H,"3",Adjustments!$I:$I,'Schedule 3 Adjustments'!$K$13,Adjustments!$J:$J,"13a")</f>
        <v>0</v>
      </c>
      <c r="M78" s="418">
        <f>SUM(K78:L78)</f>
        <v>0</v>
      </c>
      <c r="N78" s="89"/>
      <c r="O78" s="353"/>
      <c r="P78" s="87"/>
      <c r="Q78" s="349"/>
      <c r="R78" s="353"/>
      <c r="S78" s="87"/>
      <c r="T78" s="353"/>
      <c r="U78" s="87"/>
      <c r="V78" s="349"/>
      <c r="W78" s="353"/>
      <c r="X78" s="87"/>
      <c r="Y78" s="353"/>
      <c r="Z78" s="87"/>
      <c r="AA78" s="353"/>
      <c r="AB78" s="87"/>
      <c r="AC78" s="353"/>
    </row>
    <row r="79" spans="1:29" x14ac:dyDescent="0.35">
      <c r="A79" s="102" t="s">
        <v>448</v>
      </c>
      <c r="B79" s="88"/>
      <c r="C79" s="88"/>
      <c r="D79" s="88"/>
      <c r="E79" s="88"/>
      <c r="F79" s="133"/>
      <c r="G79" s="136"/>
      <c r="H79" s="136"/>
      <c r="I79" s="105"/>
      <c r="J79" s="368">
        <f>'As-Filed Schedule 3'!J79</f>
        <v>0</v>
      </c>
      <c r="K79" s="414">
        <f>'As-Filed Schedule 3'!K79</f>
        <v>0</v>
      </c>
      <c r="L79" s="416">
        <f>SUMIFS(Adjustments!$G:$G,Adjustments!$H:$H,"3",Adjustments!$I:$I,'Schedule 3 Adjustments'!$K$13,Adjustments!$J:$J,"13b")</f>
        <v>0</v>
      </c>
      <c r="M79" s="418">
        <f>SUM(K79:L79)</f>
        <v>0</v>
      </c>
      <c r="N79" s="90"/>
      <c r="O79" s="354"/>
      <c r="P79" s="88"/>
      <c r="Q79" s="350"/>
      <c r="R79" s="354"/>
      <c r="S79" s="88"/>
      <c r="T79" s="354"/>
      <c r="U79" s="88"/>
      <c r="V79" s="350"/>
      <c r="W79" s="354"/>
      <c r="X79" s="88"/>
      <c r="Y79" s="354"/>
      <c r="Z79" s="88"/>
      <c r="AA79" s="354"/>
      <c r="AB79" s="88"/>
      <c r="AC79" s="354"/>
    </row>
    <row r="80" spans="1:29" x14ac:dyDescent="0.35">
      <c r="A80" s="103" t="s">
        <v>449</v>
      </c>
      <c r="B80" s="88"/>
      <c r="C80" s="88"/>
      <c r="D80" s="88"/>
      <c r="E80" s="88"/>
      <c r="F80" s="133"/>
      <c r="G80" s="136"/>
      <c r="H80" s="136"/>
      <c r="I80" s="105"/>
      <c r="J80" s="368">
        <f>'As-Filed Schedule 3'!J80</f>
        <v>0</v>
      </c>
      <c r="K80" s="414">
        <f>'As-Filed Schedule 3'!K80</f>
        <v>0</v>
      </c>
      <c r="L80" s="416">
        <f>SUMIFS(Adjustments!$G:$G,Adjustments!$H:$H,"3",Adjustments!$I:$I,'Schedule 3 Adjustments'!$K$13,Adjustments!$J:$J,"13c")</f>
        <v>0</v>
      </c>
      <c r="M80" s="418">
        <f>SUM(K80:L80)</f>
        <v>0</v>
      </c>
      <c r="N80" s="90"/>
      <c r="O80" s="354"/>
      <c r="P80" s="88"/>
      <c r="Q80" s="350"/>
      <c r="R80" s="354"/>
      <c r="S80" s="88"/>
      <c r="T80" s="354"/>
      <c r="U80" s="88"/>
      <c r="V80" s="350"/>
      <c r="W80" s="354"/>
      <c r="X80" s="88"/>
      <c r="Y80" s="354"/>
      <c r="Z80" s="88"/>
      <c r="AA80" s="354"/>
      <c r="AB80" s="88"/>
      <c r="AC80" s="354"/>
    </row>
    <row r="81" spans="1:29" x14ac:dyDescent="0.35">
      <c r="J81" s="100"/>
      <c r="N81" s="28"/>
      <c r="O81" s="346"/>
    </row>
    <row r="82" spans="1:29" s="34" customFormat="1" x14ac:dyDescent="0.35">
      <c r="A82" s="84">
        <v>14</v>
      </c>
      <c r="B82" s="518">
        <f>'As-Filed Schedule 3'!B82:C82</f>
        <v>0</v>
      </c>
      <c r="C82" s="519"/>
      <c r="D82" s="364">
        <f>'As-Filed Schedule 3'!D82</f>
        <v>0</v>
      </c>
      <c r="E82" s="364">
        <f>'As-Filed Schedule 3'!E82</f>
        <v>0</v>
      </c>
      <c r="F82" s="363">
        <f>'As-Filed Schedule 3'!F82</f>
        <v>0</v>
      </c>
      <c r="G82" s="362">
        <f>'As-Filed Schedule 3'!G82</f>
        <v>0</v>
      </c>
      <c r="H82" s="362">
        <f>'As-Filed Schedule 3'!H82</f>
        <v>0</v>
      </c>
      <c r="I82" s="139" t="str">
        <f>IF(B82=0,"",IF(AND(G82=0,H82=0),365,IF(AND(G82&gt;0,H82=0),$C$6-G82+1,IF(AND(G82=0,H82&gt;0),H82-($C$6-365),H82-G82+1))))</f>
        <v/>
      </c>
      <c r="J82" s="98"/>
      <c r="K82" s="413">
        <f>SUM(K83:K85)</f>
        <v>0</v>
      </c>
      <c r="L82" s="415">
        <f>SUM(L83:L85)</f>
        <v>0</v>
      </c>
      <c r="M82" s="417">
        <f>SUM(M83:M85)</f>
        <v>0</v>
      </c>
      <c r="N82" s="91" t="str">
        <f>IF(K82&gt;0,K82/(F82*I82),"")</f>
        <v/>
      </c>
      <c r="O82" s="345" t="str">
        <f>IF(M82&gt;0,M82/(F82*I82),"")</f>
        <v/>
      </c>
      <c r="P82" s="126">
        <f>'As-Filed Schedule 3'!M82</f>
        <v>0</v>
      </c>
      <c r="Q82" s="348">
        <f>SUMIFS(Adjustments!$G:$G,Adjustments!$H:$H,"3",Adjustments!$I:$I,'Schedule 3 Adjustments'!$P$13,Adjustments!$J:$J,'As-Filed Schedule 3'!A82)</f>
        <v>0</v>
      </c>
      <c r="R82" s="352">
        <f>SUM(P82:Q82)</f>
        <v>0</v>
      </c>
      <c r="S82" s="85" t="str">
        <f>IFERROR(P82/K82,"")</f>
        <v/>
      </c>
      <c r="T82" s="356" t="str">
        <f>IFERROR(R82/M82,"")</f>
        <v/>
      </c>
      <c r="U82" s="126">
        <f>'As-Filed Schedule 3'!O82</f>
        <v>0</v>
      </c>
      <c r="V82" s="348">
        <f>SUMIFS(Adjustments!$G:$G,Adjustments!$H:$H,"3",Adjustments!$I:$I,'Schedule 3 Adjustments'!$U$13,Adjustments!$J:$J,$A82)</f>
        <v>0</v>
      </c>
      <c r="W82" s="352">
        <f>SUM(U82:V82)</f>
        <v>0</v>
      </c>
      <c r="X82" s="85" t="str">
        <f>IFERROR(U82/K82,"")</f>
        <v/>
      </c>
      <c r="Y82" s="85" t="str">
        <f>IFERROR(W82/M82,"")</f>
        <v/>
      </c>
      <c r="Z82" s="86" t="str">
        <f>IF(P82=0,"",P82-U82)</f>
        <v/>
      </c>
      <c r="AA82" s="358" t="str">
        <f>IF(R82=0,"",R82-W82)</f>
        <v/>
      </c>
      <c r="AB82" s="85" t="str">
        <f>IFERROR(Z82/K82,"")</f>
        <v/>
      </c>
      <c r="AC82" s="356" t="str">
        <f>IFERROR(AA82/M82,"")</f>
        <v/>
      </c>
    </row>
    <row r="83" spans="1:29" x14ac:dyDescent="0.35">
      <c r="A83" s="101" t="s">
        <v>447</v>
      </c>
      <c r="B83" s="87"/>
      <c r="C83" s="87"/>
      <c r="D83" s="87"/>
      <c r="E83" s="87"/>
      <c r="F83" s="132"/>
      <c r="G83" s="135"/>
      <c r="H83" s="135"/>
      <c r="I83" s="104"/>
      <c r="J83" s="368">
        <f>'As-Filed Schedule 3'!J83</f>
        <v>0</v>
      </c>
      <c r="K83" s="414">
        <f>'As-Filed Schedule 3'!K83</f>
        <v>0</v>
      </c>
      <c r="L83" s="416">
        <f>SUMIFS(Adjustments!$G:$G,Adjustments!$H:$H,"3",Adjustments!$I:$I,'Schedule 3 Adjustments'!$K$13,Adjustments!$J:$J,"14a")</f>
        <v>0</v>
      </c>
      <c r="M83" s="418">
        <f>SUM(K83:L83)</f>
        <v>0</v>
      </c>
      <c r="N83" s="89"/>
      <c r="O83" s="353"/>
      <c r="P83" s="87"/>
      <c r="Q83" s="349"/>
      <c r="R83" s="353"/>
      <c r="S83" s="87"/>
      <c r="T83" s="353"/>
      <c r="U83" s="87"/>
      <c r="V83" s="349"/>
      <c r="W83" s="353"/>
      <c r="X83" s="87"/>
      <c r="Y83" s="353"/>
      <c r="Z83" s="87"/>
      <c r="AA83" s="353"/>
      <c r="AB83" s="87"/>
      <c r="AC83" s="353"/>
    </row>
    <row r="84" spans="1:29" x14ac:dyDescent="0.35">
      <c r="A84" s="102" t="s">
        <v>448</v>
      </c>
      <c r="B84" s="88"/>
      <c r="C84" s="88"/>
      <c r="D84" s="88"/>
      <c r="E84" s="88"/>
      <c r="F84" s="133"/>
      <c r="G84" s="136"/>
      <c r="H84" s="136"/>
      <c r="I84" s="105"/>
      <c r="J84" s="368">
        <f>'As-Filed Schedule 3'!J84</f>
        <v>0</v>
      </c>
      <c r="K84" s="414">
        <f>'As-Filed Schedule 3'!K84</f>
        <v>0</v>
      </c>
      <c r="L84" s="416">
        <f>SUMIFS(Adjustments!$G:$G,Adjustments!$H:$H,"3",Adjustments!$I:$I,'Schedule 3 Adjustments'!$K$13,Adjustments!$J:$J,"14b")</f>
        <v>0</v>
      </c>
      <c r="M84" s="418">
        <f>SUM(K84:L84)</f>
        <v>0</v>
      </c>
      <c r="N84" s="90"/>
      <c r="O84" s="354"/>
      <c r="P84" s="88"/>
      <c r="Q84" s="350"/>
      <c r="R84" s="354"/>
      <c r="S84" s="88"/>
      <c r="T84" s="354"/>
      <c r="U84" s="88"/>
      <c r="V84" s="350"/>
      <c r="W84" s="354"/>
      <c r="X84" s="88"/>
      <c r="Y84" s="354"/>
      <c r="Z84" s="88"/>
      <c r="AA84" s="354"/>
      <c r="AB84" s="88"/>
      <c r="AC84" s="354"/>
    </row>
    <row r="85" spans="1:29" x14ac:dyDescent="0.35">
      <c r="A85" s="103" t="s">
        <v>449</v>
      </c>
      <c r="B85" s="88"/>
      <c r="C85" s="88"/>
      <c r="D85" s="88"/>
      <c r="E85" s="88"/>
      <c r="F85" s="133"/>
      <c r="G85" s="136"/>
      <c r="H85" s="136"/>
      <c r="I85" s="105"/>
      <c r="J85" s="368">
        <f>'As-Filed Schedule 3'!J85</f>
        <v>0</v>
      </c>
      <c r="K85" s="414">
        <f>'As-Filed Schedule 3'!K85</f>
        <v>0</v>
      </c>
      <c r="L85" s="416">
        <f>SUMIFS(Adjustments!$G:$G,Adjustments!$H:$H,"3",Adjustments!$I:$I,'Schedule 3 Adjustments'!$K$13,Adjustments!$J:$J,"14c")</f>
        <v>0</v>
      </c>
      <c r="M85" s="418">
        <f>SUM(K85:L85)</f>
        <v>0</v>
      </c>
      <c r="N85" s="90"/>
      <c r="O85" s="354"/>
      <c r="P85" s="88"/>
      <c r="Q85" s="350"/>
      <c r="R85" s="354"/>
      <c r="S85" s="88"/>
      <c r="T85" s="354"/>
      <c r="U85" s="88"/>
      <c r="V85" s="350"/>
      <c r="W85" s="354"/>
      <c r="X85" s="88"/>
      <c r="Y85" s="354"/>
      <c r="Z85" s="88"/>
      <c r="AA85" s="354"/>
      <c r="AB85" s="88"/>
      <c r="AC85" s="354"/>
    </row>
    <row r="86" spans="1:29" x14ac:dyDescent="0.35">
      <c r="J86" s="100"/>
      <c r="N86" s="28"/>
      <c r="O86" s="346"/>
    </row>
    <row r="87" spans="1:29" s="34" customFormat="1" x14ac:dyDescent="0.35">
      <c r="A87" s="84">
        <v>15</v>
      </c>
      <c r="B87" s="518">
        <f>'As-Filed Schedule 3'!B87:C87</f>
        <v>0</v>
      </c>
      <c r="C87" s="519"/>
      <c r="D87" s="364">
        <f>'As-Filed Schedule 3'!D87</f>
        <v>0</v>
      </c>
      <c r="E87" s="364">
        <f>'As-Filed Schedule 3'!E87</f>
        <v>0</v>
      </c>
      <c r="F87" s="363">
        <f>'As-Filed Schedule 3'!F87</f>
        <v>0</v>
      </c>
      <c r="G87" s="362">
        <f>'As-Filed Schedule 3'!G87</f>
        <v>0</v>
      </c>
      <c r="H87" s="362">
        <f>'As-Filed Schedule 3'!H87</f>
        <v>0</v>
      </c>
      <c r="I87" s="139" t="str">
        <f>IF(B87=0,"",IF(AND(G87=0,H87=0),365,IF(AND(G87&gt;0,H87=0),$C$6-G87+1,IF(AND(G87=0,H87&gt;0),H87-($C$6-365),H87-G87+1))))</f>
        <v/>
      </c>
      <c r="J87" s="98"/>
      <c r="K87" s="413">
        <f>SUM(K88:K90)</f>
        <v>0</v>
      </c>
      <c r="L87" s="415">
        <f>SUM(L88:L90)</f>
        <v>0</v>
      </c>
      <c r="M87" s="417">
        <f>SUM(M88:M90)</f>
        <v>0</v>
      </c>
      <c r="N87" s="91" t="str">
        <f>IF(K87&gt;0,K87/(F87*I87),"")</f>
        <v/>
      </c>
      <c r="O87" s="345" t="str">
        <f>IF(M87&gt;0,M87/(F87*I87),"")</f>
        <v/>
      </c>
      <c r="P87" s="126">
        <f>'As-Filed Schedule 3'!M87</f>
        <v>0</v>
      </c>
      <c r="Q87" s="348">
        <f>SUMIFS(Adjustments!$G:$G,Adjustments!$H:$H,"3",Adjustments!$I:$I,'Schedule 3 Adjustments'!$P$13,Adjustments!$J:$J,'As-Filed Schedule 3'!A87)</f>
        <v>0</v>
      </c>
      <c r="R87" s="352">
        <f>SUM(P87:Q87)</f>
        <v>0</v>
      </c>
      <c r="S87" s="85" t="str">
        <f>IFERROR(P87/K87,"")</f>
        <v/>
      </c>
      <c r="T87" s="356" t="str">
        <f>IFERROR(R87/M87,"")</f>
        <v/>
      </c>
      <c r="U87" s="126">
        <f>'As-Filed Schedule 3'!O87</f>
        <v>0</v>
      </c>
      <c r="V87" s="348">
        <f>SUMIFS(Adjustments!$G:$G,Adjustments!$H:$H,"3",Adjustments!$I:$I,'Schedule 3 Adjustments'!$U$13,Adjustments!$J:$J,$A87)</f>
        <v>0</v>
      </c>
      <c r="W87" s="352">
        <f>SUM(U87:V87)</f>
        <v>0</v>
      </c>
      <c r="X87" s="85" t="str">
        <f>IFERROR(U87/K87,"")</f>
        <v/>
      </c>
      <c r="Y87" s="85" t="str">
        <f>IFERROR(W87/M87,"")</f>
        <v/>
      </c>
      <c r="Z87" s="86" t="str">
        <f>IF(P87=0,"",P87-U87)</f>
        <v/>
      </c>
      <c r="AA87" s="358" t="str">
        <f>IF(R87=0,"",R87-W87)</f>
        <v/>
      </c>
      <c r="AB87" s="85" t="str">
        <f>IFERROR(Z87/K87,"")</f>
        <v/>
      </c>
      <c r="AC87" s="356" t="str">
        <f>IFERROR(AA87/M87,"")</f>
        <v/>
      </c>
    </row>
    <row r="88" spans="1:29" x14ac:dyDescent="0.35">
      <c r="A88" s="101" t="s">
        <v>447</v>
      </c>
      <c r="B88" s="87"/>
      <c r="C88" s="87"/>
      <c r="D88" s="87"/>
      <c r="E88" s="87"/>
      <c r="F88" s="132"/>
      <c r="G88" s="135"/>
      <c r="H88" s="135"/>
      <c r="I88" s="104"/>
      <c r="J88" s="368">
        <f>'As-Filed Schedule 3'!J88</f>
        <v>0</v>
      </c>
      <c r="K88" s="414">
        <f>'As-Filed Schedule 3'!K88</f>
        <v>0</v>
      </c>
      <c r="L88" s="416">
        <f>SUMIFS(Adjustments!$G:$G,Adjustments!$H:$H,"3",Adjustments!$I:$I,'Schedule 3 Adjustments'!$K$13,Adjustments!$J:$J,"15a")</f>
        <v>0</v>
      </c>
      <c r="M88" s="418">
        <f>SUM(K88:L88)</f>
        <v>0</v>
      </c>
      <c r="N88" s="89"/>
      <c r="O88" s="353"/>
      <c r="P88" s="87"/>
      <c r="Q88" s="349"/>
      <c r="R88" s="353"/>
      <c r="S88" s="87"/>
      <c r="T88" s="353"/>
      <c r="U88" s="87"/>
      <c r="V88" s="349"/>
      <c r="W88" s="353"/>
      <c r="X88" s="87"/>
      <c r="Y88" s="353"/>
      <c r="Z88" s="87"/>
      <c r="AA88" s="353"/>
      <c r="AB88" s="87"/>
      <c r="AC88" s="353"/>
    </row>
    <row r="89" spans="1:29" x14ac:dyDescent="0.35">
      <c r="A89" s="102" t="s">
        <v>448</v>
      </c>
      <c r="B89" s="88"/>
      <c r="C89" s="88"/>
      <c r="D89" s="88"/>
      <c r="E89" s="88"/>
      <c r="F89" s="133"/>
      <c r="G89" s="136"/>
      <c r="H89" s="136"/>
      <c r="I89" s="105"/>
      <c r="J89" s="368">
        <f>'As-Filed Schedule 3'!J89</f>
        <v>0</v>
      </c>
      <c r="K89" s="414">
        <f>'As-Filed Schedule 3'!K89</f>
        <v>0</v>
      </c>
      <c r="L89" s="416">
        <f>SUMIFS(Adjustments!$G:$G,Adjustments!$H:$H,"3",Adjustments!$I:$I,'Schedule 3 Adjustments'!$K$13,Adjustments!$J:$J,"15b")</f>
        <v>0</v>
      </c>
      <c r="M89" s="418">
        <f>SUM(K89:L89)</f>
        <v>0</v>
      </c>
      <c r="N89" s="90"/>
      <c r="O89" s="354"/>
      <c r="P89" s="88"/>
      <c r="Q89" s="350"/>
      <c r="R89" s="354"/>
      <c r="S89" s="88"/>
      <c r="T89" s="354"/>
      <c r="U89" s="88"/>
      <c r="V89" s="350"/>
      <c r="W89" s="354"/>
      <c r="X89" s="88"/>
      <c r="Y89" s="354"/>
      <c r="Z89" s="88"/>
      <c r="AA89" s="354"/>
      <c r="AB89" s="88"/>
      <c r="AC89" s="354"/>
    </row>
    <row r="90" spans="1:29" x14ac:dyDescent="0.35">
      <c r="A90" s="103" t="s">
        <v>449</v>
      </c>
      <c r="B90" s="88"/>
      <c r="C90" s="88"/>
      <c r="D90" s="88"/>
      <c r="E90" s="88"/>
      <c r="F90" s="133"/>
      <c r="G90" s="136"/>
      <c r="H90" s="136"/>
      <c r="I90" s="105"/>
      <c r="J90" s="368">
        <f>'As-Filed Schedule 3'!J90</f>
        <v>0</v>
      </c>
      <c r="K90" s="414">
        <f>'As-Filed Schedule 3'!K90</f>
        <v>0</v>
      </c>
      <c r="L90" s="416">
        <f>SUMIFS(Adjustments!$G:$G,Adjustments!$H:$H,"3",Adjustments!$I:$I,'Schedule 3 Adjustments'!$K$13,Adjustments!$J:$J,"15c")</f>
        <v>0</v>
      </c>
      <c r="M90" s="418">
        <f>SUM(K90:L90)</f>
        <v>0</v>
      </c>
      <c r="N90" s="90"/>
      <c r="O90" s="354"/>
      <c r="P90" s="88"/>
      <c r="Q90" s="350"/>
      <c r="R90" s="354"/>
      <c r="S90" s="88"/>
      <c r="T90" s="354"/>
      <c r="U90" s="88"/>
      <c r="V90" s="350"/>
      <c r="W90" s="354"/>
      <c r="X90" s="88"/>
      <c r="Y90" s="354"/>
      <c r="Z90" s="88"/>
      <c r="AA90" s="354"/>
      <c r="AB90" s="88"/>
      <c r="AC90" s="354"/>
    </row>
    <row r="91" spans="1:29" x14ac:dyDescent="0.35">
      <c r="J91" s="100"/>
      <c r="N91" s="28"/>
      <c r="O91" s="346"/>
    </row>
    <row r="92" spans="1:29" s="34" customFormat="1" x14ac:dyDescent="0.35">
      <c r="A92" s="84">
        <v>16</v>
      </c>
      <c r="B92" s="518">
        <f>'As-Filed Schedule 3'!B92:C92</f>
        <v>0</v>
      </c>
      <c r="C92" s="519"/>
      <c r="D92" s="364">
        <f>'As-Filed Schedule 3'!D92</f>
        <v>0</v>
      </c>
      <c r="E92" s="364">
        <f>'As-Filed Schedule 3'!E92</f>
        <v>0</v>
      </c>
      <c r="F92" s="363">
        <f>'As-Filed Schedule 3'!F92</f>
        <v>0</v>
      </c>
      <c r="G92" s="362">
        <f>'As-Filed Schedule 3'!G92</f>
        <v>0</v>
      </c>
      <c r="H92" s="362">
        <f>'As-Filed Schedule 3'!H92</f>
        <v>0</v>
      </c>
      <c r="I92" s="139" t="str">
        <f>IF(B92=0,"",IF(AND(G92=0,H92=0),365,IF(AND(G92&gt;0,H92=0),$C$6-G92+1,IF(AND(G92=0,H92&gt;0),H92-($C$6-365),H92-G92+1))))</f>
        <v/>
      </c>
      <c r="J92" s="98"/>
      <c r="K92" s="413">
        <f>SUM(K93:K95)</f>
        <v>0</v>
      </c>
      <c r="L92" s="415">
        <f>SUM(L93:L95)</f>
        <v>0</v>
      </c>
      <c r="M92" s="417">
        <f>SUM(M93:M95)</f>
        <v>0</v>
      </c>
      <c r="N92" s="91" t="str">
        <f>IF(K92&gt;0,K92/(F92*I92),"")</f>
        <v/>
      </c>
      <c r="O92" s="345" t="str">
        <f>IF(M92&gt;0,M92/(F92*I92),"")</f>
        <v/>
      </c>
      <c r="P92" s="126">
        <f>'As-Filed Schedule 3'!M92</f>
        <v>0</v>
      </c>
      <c r="Q92" s="348">
        <f>SUMIFS(Adjustments!$G:$G,Adjustments!$H:$H,"3",Adjustments!$I:$I,'Schedule 3 Adjustments'!$P$13,Adjustments!$J:$J,'As-Filed Schedule 3'!A92)</f>
        <v>0</v>
      </c>
      <c r="R92" s="352">
        <f>SUM(P92:Q92)</f>
        <v>0</v>
      </c>
      <c r="S92" s="85" t="str">
        <f>IFERROR(P92/K92,"")</f>
        <v/>
      </c>
      <c r="T92" s="356" t="str">
        <f>IFERROR(R92/M92,"")</f>
        <v/>
      </c>
      <c r="U92" s="126">
        <f>'As-Filed Schedule 3'!O92</f>
        <v>0</v>
      </c>
      <c r="V92" s="348">
        <f>SUMIFS(Adjustments!$G:$G,Adjustments!$H:$H,"3",Adjustments!$I:$I,'Schedule 3 Adjustments'!$U$13,Adjustments!$J:$J,$A92)</f>
        <v>0</v>
      </c>
      <c r="W92" s="352">
        <f>SUM(U92:V92)</f>
        <v>0</v>
      </c>
      <c r="X92" s="85" t="str">
        <f>IFERROR(U92/K92,"")</f>
        <v/>
      </c>
      <c r="Y92" s="85" t="str">
        <f>IFERROR(W92/M92,"")</f>
        <v/>
      </c>
      <c r="Z92" s="86" t="str">
        <f>IF(P92=0,"",P92-U92)</f>
        <v/>
      </c>
      <c r="AA92" s="358" t="str">
        <f>IF(R92=0,"",R92-W92)</f>
        <v/>
      </c>
      <c r="AB92" s="85" t="str">
        <f>IFERROR(Z92/K92,"")</f>
        <v/>
      </c>
      <c r="AC92" s="356" t="str">
        <f>IFERROR(AA92/M92,"")</f>
        <v/>
      </c>
    </row>
    <row r="93" spans="1:29" x14ac:dyDescent="0.35">
      <c r="A93" s="101" t="s">
        <v>447</v>
      </c>
      <c r="B93" s="87"/>
      <c r="C93" s="87"/>
      <c r="D93" s="87"/>
      <c r="E93" s="87"/>
      <c r="F93" s="132"/>
      <c r="G93" s="135"/>
      <c r="H93" s="135"/>
      <c r="I93" s="104"/>
      <c r="J93" s="368">
        <f>'As-Filed Schedule 3'!J93</f>
        <v>0</v>
      </c>
      <c r="K93" s="414">
        <f>'As-Filed Schedule 3'!K93</f>
        <v>0</v>
      </c>
      <c r="L93" s="416">
        <f>SUMIFS(Adjustments!$G:$G,Adjustments!$H:$H,"3",Adjustments!$I:$I,'Schedule 3 Adjustments'!$K$13,Adjustments!$J:$J,"16a")</f>
        <v>0</v>
      </c>
      <c r="M93" s="418">
        <f>SUM(K93:L93)</f>
        <v>0</v>
      </c>
      <c r="N93" s="89"/>
      <c r="O93" s="353"/>
      <c r="P93" s="87"/>
      <c r="Q93" s="349"/>
      <c r="R93" s="353"/>
      <c r="S93" s="87"/>
      <c r="T93" s="353"/>
      <c r="U93" s="87"/>
      <c r="V93" s="349"/>
      <c r="W93" s="353"/>
      <c r="X93" s="87"/>
      <c r="Y93" s="353"/>
      <c r="Z93" s="87"/>
      <c r="AA93" s="353"/>
      <c r="AB93" s="87"/>
      <c r="AC93" s="353"/>
    </row>
    <row r="94" spans="1:29" x14ac:dyDescent="0.35">
      <c r="A94" s="102" t="s">
        <v>448</v>
      </c>
      <c r="B94" s="88"/>
      <c r="C94" s="88"/>
      <c r="D94" s="88"/>
      <c r="E94" s="88"/>
      <c r="F94" s="133"/>
      <c r="G94" s="136"/>
      <c r="H94" s="136"/>
      <c r="I94" s="105"/>
      <c r="J94" s="368">
        <f>'As-Filed Schedule 3'!J94</f>
        <v>0</v>
      </c>
      <c r="K94" s="414">
        <f>'As-Filed Schedule 3'!K94</f>
        <v>0</v>
      </c>
      <c r="L94" s="416">
        <f>SUMIFS(Adjustments!$G:$G,Adjustments!$H:$H,"3",Adjustments!$I:$I,'Schedule 3 Adjustments'!$K$13,Adjustments!$J:$J,"16b")</f>
        <v>0</v>
      </c>
      <c r="M94" s="418">
        <f>SUM(K94:L94)</f>
        <v>0</v>
      </c>
      <c r="N94" s="90"/>
      <c r="O94" s="354"/>
      <c r="P94" s="88"/>
      <c r="Q94" s="350"/>
      <c r="R94" s="354"/>
      <c r="S94" s="88"/>
      <c r="T94" s="354"/>
      <c r="U94" s="88"/>
      <c r="V94" s="350"/>
      <c r="W94" s="354"/>
      <c r="X94" s="88"/>
      <c r="Y94" s="354"/>
      <c r="Z94" s="88"/>
      <c r="AA94" s="354"/>
      <c r="AB94" s="88"/>
      <c r="AC94" s="354"/>
    </row>
    <row r="95" spans="1:29" x14ac:dyDescent="0.35">
      <c r="A95" s="103" t="s">
        <v>449</v>
      </c>
      <c r="B95" s="88"/>
      <c r="C95" s="88"/>
      <c r="D95" s="88"/>
      <c r="E95" s="88"/>
      <c r="F95" s="133"/>
      <c r="G95" s="136"/>
      <c r="H95" s="136"/>
      <c r="I95" s="105"/>
      <c r="J95" s="368">
        <f>'As-Filed Schedule 3'!J95</f>
        <v>0</v>
      </c>
      <c r="K95" s="414">
        <f>'As-Filed Schedule 3'!K95</f>
        <v>0</v>
      </c>
      <c r="L95" s="416">
        <f>SUMIFS(Adjustments!$G:$G,Adjustments!$H:$H,"3",Adjustments!$I:$I,'Schedule 3 Adjustments'!$K$13,Adjustments!$J:$J,"16c")</f>
        <v>0</v>
      </c>
      <c r="M95" s="418">
        <f>SUM(K95:L95)</f>
        <v>0</v>
      </c>
      <c r="N95" s="90"/>
      <c r="O95" s="354"/>
      <c r="P95" s="88"/>
      <c r="Q95" s="350"/>
      <c r="R95" s="354"/>
      <c r="S95" s="88"/>
      <c r="T95" s="354"/>
      <c r="U95" s="88"/>
      <c r="V95" s="350"/>
      <c r="W95" s="354"/>
      <c r="X95" s="88"/>
      <c r="Y95" s="354"/>
      <c r="Z95" s="88"/>
      <c r="AA95" s="354"/>
      <c r="AB95" s="88"/>
      <c r="AC95" s="354"/>
    </row>
    <row r="96" spans="1:29" x14ac:dyDescent="0.35">
      <c r="J96" s="100"/>
      <c r="N96" s="28"/>
      <c r="O96" s="346"/>
    </row>
    <row r="97" spans="1:29" s="34" customFormat="1" x14ac:dyDescent="0.35">
      <c r="A97" s="84">
        <v>17</v>
      </c>
      <c r="B97" s="518">
        <f>'As-Filed Schedule 3'!B97:C97</f>
        <v>0</v>
      </c>
      <c r="C97" s="519"/>
      <c r="D97" s="364">
        <f>'As-Filed Schedule 3'!D97</f>
        <v>0</v>
      </c>
      <c r="E97" s="364">
        <f>'As-Filed Schedule 3'!E97</f>
        <v>0</v>
      </c>
      <c r="F97" s="363">
        <f>'As-Filed Schedule 3'!F97</f>
        <v>0</v>
      </c>
      <c r="G97" s="362">
        <f>'As-Filed Schedule 3'!G97</f>
        <v>0</v>
      </c>
      <c r="H97" s="362">
        <f>'As-Filed Schedule 3'!H97</f>
        <v>0</v>
      </c>
      <c r="I97" s="139" t="str">
        <f>IF(B97=0,"",IF(AND(G97=0,H97=0),365,IF(AND(G97&gt;0,H97=0),$C$6-G97+1,IF(AND(G97=0,H97&gt;0),H97-($C$6-365),H97-G97+1))))</f>
        <v/>
      </c>
      <c r="J97" s="98"/>
      <c r="K97" s="413">
        <f>SUM(K98:K100)</f>
        <v>0</v>
      </c>
      <c r="L97" s="415">
        <f>SUM(L98:L100)</f>
        <v>0</v>
      </c>
      <c r="M97" s="417">
        <f>SUM(M98:M100)</f>
        <v>0</v>
      </c>
      <c r="N97" s="91" t="str">
        <f>IF(K97&gt;0,K97/(F97*I97),"")</f>
        <v/>
      </c>
      <c r="O97" s="345" t="str">
        <f>IF(M97&gt;0,M97/(F97*I97),"")</f>
        <v/>
      </c>
      <c r="P97" s="126">
        <f>'As-Filed Schedule 3'!M97</f>
        <v>0</v>
      </c>
      <c r="Q97" s="348">
        <f>SUMIFS(Adjustments!$G:$G,Adjustments!$H:$H,"3",Adjustments!$I:$I,'Schedule 3 Adjustments'!$P$13,Adjustments!$J:$J,'As-Filed Schedule 3'!A97)</f>
        <v>0</v>
      </c>
      <c r="R97" s="352">
        <f>SUM(P97:Q97)</f>
        <v>0</v>
      </c>
      <c r="S97" s="85" t="str">
        <f>IFERROR(P97/K97,"")</f>
        <v/>
      </c>
      <c r="T97" s="356" t="str">
        <f>IFERROR(R97/M97,"")</f>
        <v/>
      </c>
      <c r="U97" s="126">
        <f>'As-Filed Schedule 3'!O97</f>
        <v>0</v>
      </c>
      <c r="V97" s="348">
        <f>SUMIFS(Adjustments!$G:$G,Adjustments!$H:$H,"3",Adjustments!$I:$I,'Schedule 3 Adjustments'!$U$13,Adjustments!$J:$J,$A97)</f>
        <v>0</v>
      </c>
      <c r="W97" s="352">
        <f>SUM(U97:V97)</f>
        <v>0</v>
      </c>
      <c r="X97" s="85" t="str">
        <f>IFERROR(U97/K97,"")</f>
        <v/>
      </c>
      <c r="Y97" s="85" t="str">
        <f>IFERROR(W97/M97,"")</f>
        <v/>
      </c>
      <c r="Z97" s="86" t="str">
        <f>IF(P97=0,"",P97-U97)</f>
        <v/>
      </c>
      <c r="AA97" s="358" t="str">
        <f>IF(R97=0,"",R97-W97)</f>
        <v/>
      </c>
      <c r="AB97" s="85" t="str">
        <f>IFERROR(Z97/K97,"")</f>
        <v/>
      </c>
      <c r="AC97" s="356" t="str">
        <f>IFERROR(AA97/M97,"")</f>
        <v/>
      </c>
    </row>
    <row r="98" spans="1:29" x14ac:dyDescent="0.35">
      <c r="A98" s="101" t="s">
        <v>447</v>
      </c>
      <c r="B98" s="87"/>
      <c r="C98" s="87"/>
      <c r="D98" s="87"/>
      <c r="E98" s="87"/>
      <c r="F98" s="132"/>
      <c r="G98" s="135"/>
      <c r="H98" s="135"/>
      <c r="I98" s="104"/>
      <c r="J98" s="368">
        <f>'As-Filed Schedule 3'!J98</f>
        <v>0</v>
      </c>
      <c r="K98" s="414">
        <f>'As-Filed Schedule 3'!K98</f>
        <v>0</v>
      </c>
      <c r="L98" s="416">
        <f>SUMIFS(Adjustments!$G:$G,Adjustments!$H:$H,"3",Adjustments!$I:$I,'Schedule 3 Adjustments'!$K$13,Adjustments!$J:$J,"17a")</f>
        <v>0</v>
      </c>
      <c r="M98" s="418">
        <f>SUM(K98:L98)</f>
        <v>0</v>
      </c>
      <c r="N98" s="89"/>
      <c r="O98" s="353"/>
      <c r="P98" s="87"/>
      <c r="Q98" s="349"/>
      <c r="R98" s="353"/>
      <c r="S98" s="87"/>
      <c r="T98" s="353"/>
      <c r="U98" s="87"/>
      <c r="V98" s="349"/>
      <c r="W98" s="353"/>
      <c r="X98" s="87"/>
      <c r="Y98" s="353"/>
      <c r="Z98" s="87"/>
      <c r="AA98" s="353"/>
      <c r="AB98" s="87"/>
      <c r="AC98" s="353"/>
    </row>
    <row r="99" spans="1:29" x14ac:dyDescent="0.35">
      <c r="A99" s="102" t="s">
        <v>448</v>
      </c>
      <c r="B99" s="88"/>
      <c r="C99" s="88"/>
      <c r="D99" s="88"/>
      <c r="E99" s="88"/>
      <c r="F99" s="133"/>
      <c r="G99" s="136"/>
      <c r="H99" s="136"/>
      <c r="I99" s="105"/>
      <c r="J99" s="368">
        <f>'As-Filed Schedule 3'!J99</f>
        <v>0</v>
      </c>
      <c r="K99" s="414">
        <f>'As-Filed Schedule 3'!K99</f>
        <v>0</v>
      </c>
      <c r="L99" s="416">
        <f>SUMIFS(Adjustments!$G:$G,Adjustments!$H:$H,"3",Adjustments!$I:$I,'Schedule 3 Adjustments'!$K$13,Adjustments!$J:$J,"17b")</f>
        <v>0</v>
      </c>
      <c r="M99" s="418">
        <f>SUM(K99:L99)</f>
        <v>0</v>
      </c>
      <c r="N99" s="90"/>
      <c r="O99" s="354"/>
      <c r="P99" s="88"/>
      <c r="Q99" s="350"/>
      <c r="R99" s="354"/>
      <c r="S99" s="88"/>
      <c r="T99" s="354"/>
      <c r="U99" s="88"/>
      <c r="V99" s="350"/>
      <c r="W99" s="354"/>
      <c r="X99" s="88"/>
      <c r="Y99" s="354"/>
      <c r="Z99" s="88"/>
      <c r="AA99" s="354"/>
      <c r="AB99" s="88"/>
      <c r="AC99" s="354"/>
    </row>
    <row r="100" spans="1:29" x14ac:dyDescent="0.35">
      <c r="A100" s="103" t="s">
        <v>449</v>
      </c>
      <c r="B100" s="88"/>
      <c r="C100" s="88"/>
      <c r="D100" s="88"/>
      <c r="E100" s="88"/>
      <c r="F100" s="133"/>
      <c r="G100" s="136"/>
      <c r="H100" s="136"/>
      <c r="I100" s="105"/>
      <c r="J100" s="368">
        <f>'As-Filed Schedule 3'!J100</f>
        <v>0</v>
      </c>
      <c r="K100" s="414">
        <f>'As-Filed Schedule 3'!K100</f>
        <v>0</v>
      </c>
      <c r="L100" s="416">
        <f>SUMIFS(Adjustments!$G:$G,Adjustments!$H:$H,"3",Adjustments!$I:$I,'Schedule 3 Adjustments'!$K$13,Adjustments!$J:$J,"17c")</f>
        <v>0</v>
      </c>
      <c r="M100" s="418">
        <f>SUM(K100:L100)</f>
        <v>0</v>
      </c>
      <c r="N100" s="90"/>
      <c r="O100" s="354"/>
      <c r="P100" s="88"/>
      <c r="Q100" s="350"/>
      <c r="R100" s="354"/>
      <c r="S100" s="88"/>
      <c r="T100" s="354"/>
      <c r="U100" s="88"/>
      <c r="V100" s="350"/>
      <c r="W100" s="354"/>
      <c r="X100" s="88"/>
      <c r="Y100" s="354"/>
      <c r="Z100" s="88"/>
      <c r="AA100" s="354"/>
      <c r="AB100" s="88"/>
      <c r="AC100" s="354"/>
    </row>
    <row r="101" spans="1:29" x14ac:dyDescent="0.35">
      <c r="J101" s="100"/>
      <c r="N101" s="28"/>
      <c r="O101" s="346"/>
    </row>
    <row r="102" spans="1:29" s="34" customFormat="1" x14ac:dyDescent="0.35">
      <c r="A102" s="84">
        <v>18</v>
      </c>
      <c r="B102" s="518">
        <f>'As-Filed Schedule 3'!B102:C102</f>
        <v>0</v>
      </c>
      <c r="C102" s="519"/>
      <c r="D102" s="364">
        <f>'As-Filed Schedule 3'!D102</f>
        <v>0</v>
      </c>
      <c r="E102" s="364">
        <f>'As-Filed Schedule 3'!E102</f>
        <v>0</v>
      </c>
      <c r="F102" s="363">
        <f>'As-Filed Schedule 3'!F102</f>
        <v>0</v>
      </c>
      <c r="G102" s="362">
        <f>'As-Filed Schedule 3'!G102</f>
        <v>0</v>
      </c>
      <c r="H102" s="362">
        <f>'As-Filed Schedule 3'!H102</f>
        <v>0</v>
      </c>
      <c r="I102" s="139" t="str">
        <f>IF(B102=0,"",IF(AND(G102=0,H102=0),365,IF(AND(G102&gt;0,H102=0),$C$6-G102+1,IF(AND(G102=0,H102&gt;0),H102-($C$6-365),H102-G102+1))))</f>
        <v/>
      </c>
      <c r="J102" s="98"/>
      <c r="K102" s="413">
        <f>SUM(K103:K105)</f>
        <v>0</v>
      </c>
      <c r="L102" s="415">
        <f>SUM(L103:L105)</f>
        <v>0</v>
      </c>
      <c r="M102" s="417">
        <f>SUM(M103:M105)</f>
        <v>0</v>
      </c>
      <c r="N102" s="91" t="str">
        <f>IF(K102&gt;0,K102/(F102*I102),"")</f>
        <v/>
      </c>
      <c r="O102" s="345" t="str">
        <f>IF(M102&gt;0,M102/(F102*I102),"")</f>
        <v/>
      </c>
      <c r="P102" s="126">
        <f>'As-Filed Schedule 3'!M102</f>
        <v>0</v>
      </c>
      <c r="Q102" s="348">
        <f>SUMIFS(Adjustments!$G:$G,Adjustments!$H:$H,"3",Adjustments!$I:$I,'Schedule 3 Adjustments'!$P$13,Adjustments!$J:$J,'As-Filed Schedule 3'!A102)</f>
        <v>0</v>
      </c>
      <c r="R102" s="352">
        <f>SUM(P102:Q102)</f>
        <v>0</v>
      </c>
      <c r="S102" s="85" t="str">
        <f>IFERROR(P102/K102,"")</f>
        <v/>
      </c>
      <c r="T102" s="356" t="str">
        <f>IFERROR(R102/M102,"")</f>
        <v/>
      </c>
      <c r="U102" s="126">
        <f>'As-Filed Schedule 3'!O102</f>
        <v>0</v>
      </c>
      <c r="V102" s="348">
        <f>SUMIFS(Adjustments!$G:$G,Adjustments!$H:$H,"3",Adjustments!$I:$I,'Schedule 3 Adjustments'!$U$13,Adjustments!$J:$J,$A102)</f>
        <v>0</v>
      </c>
      <c r="W102" s="352">
        <f>SUM(U102:V102)</f>
        <v>0</v>
      </c>
      <c r="X102" s="85" t="str">
        <f>IFERROR(U102/K102,"")</f>
        <v/>
      </c>
      <c r="Y102" s="85" t="str">
        <f>IFERROR(W102/M102,"")</f>
        <v/>
      </c>
      <c r="Z102" s="86" t="str">
        <f>IF(P102=0,"",P102-U102)</f>
        <v/>
      </c>
      <c r="AA102" s="358" t="str">
        <f>IF(R102=0,"",R102-W102)</f>
        <v/>
      </c>
      <c r="AB102" s="85" t="str">
        <f>IFERROR(Z102/K102,"")</f>
        <v/>
      </c>
      <c r="AC102" s="356" t="str">
        <f>IFERROR(AA102/M102,"")</f>
        <v/>
      </c>
    </row>
    <row r="103" spans="1:29" x14ac:dyDescent="0.35">
      <c r="A103" s="101" t="s">
        <v>447</v>
      </c>
      <c r="B103" s="87"/>
      <c r="C103" s="87"/>
      <c r="D103" s="87"/>
      <c r="E103" s="87"/>
      <c r="F103" s="132"/>
      <c r="G103" s="135"/>
      <c r="H103" s="135"/>
      <c r="I103" s="104"/>
      <c r="J103" s="368">
        <f>'As-Filed Schedule 3'!J103</f>
        <v>0</v>
      </c>
      <c r="K103" s="414">
        <f>'As-Filed Schedule 3'!K103</f>
        <v>0</v>
      </c>
      <c r="L103" s="416">
        <f>SUMIFS(Adjustments!$G:$G,Adjustments!$H:$H,"3",Adjustments!$I:$I,'Schedule 3 Adjustments'!$K$13,Adjustments!$J:$J,"18a")</f>
        <v>0</v>
      </c>
      <c r="M103" s="418">
        <f>SUM(K103:L103)</f>
        <v>0</v>
      </c>
      <c r="N103" s="89"/>
      <c r="O103" s="353"/>
      <c r="P103" s="87"/>
      <c r="Q103" s="349"/>
      <c r="R103" s="353"/>
      <c r="S103" s="87"/>
      <c r="T103" s="353"/>
      <c r="U103" s="87"/>
      <c r="V103" s="349"/>
      <c r="W103" s="353"/>
      <c r="X103" s="87"/>
      <c r="Y103" s="353"/>
      <c r="Z103" s="87"/>
      <c r="AA103" s="353"/>
      <c r="AB103" s="87"/>
      <c r="AC103" s="353"/>
    </row>
    <row r="104" spans="1:29" x14ac:dyDescent="0.35">
      <c r="A104" s="102" t="s">
        <v>448</v>
      </c>
      <c r="B104" s="88"/>
      <c r="C104" s="88"/>
      <c r="D104" s="88"/>
      <c r="E104" s="88"/>
      <c r="F104" s="133"/>
      <c r="G104" s="136"/>
      <c r="H104" s="136"/>
      <c r="I104" s="105"/>
      <c r="J104" s="368">
        <f>'As-Filed Schedule 3'!J104</f>
        <v>0</v>
      </c>
      <c r="K104" s="414">
        <f>'As-Filed Schedule 3'!K104</f>
        <v>0</v>
      </c>
      <c r="L104" s="416">
        <f>SUMIFS(Adjustments!$G:$G,Adjustments!$H:$H,"3",Adjustments!$I:$I,'Schedule 3 Adjustments'!$K$13,Adjustments!$J:$J,"18b")</f>
        <v>0</v>
      </c>
      <c r="M104" s="418">
        <f>SUM(K104:L104)</f>
        <v>0</v>
      </c>
      <c r="N104" s="90"/>
      <c r="O104" s="354"/>
      <c r="P104" s="88"/>
      <c r="Q104" s="350"/>
      <c r="R104" s="354"/>
      <c r="S104" s="88"/>
      <c r="T104" s="354"/>
      <c r="U104" s="88"/>
      <c r="V104" s="350"/>
      <c r="W104" s="354"/>
      <c r="X104" s="88"/>
      <c r="Y104" s="354"/>
      <c r="Z104" s="88"/>
      <c r="AA104" s="354"/>
      <c r="AB104" s="88"/>
      <c r="AC104" s="354"/>
    </row>
    <row r="105" spans="1:29" x14ac:dyDescent="0.35">
      <c r="A105" s="103" t="s">
        <v>449</v>
      </c>
      <c r="B105" s="88"/>
      <c r="C105" s="88"/>
      <c r="D105" s="88"/>
      <c r="E105" s="88"/>
      <c r="F105" s="133"/>
      <c r="G105" s="136"/>
      <c r="H105" s="136"/>
      <c r="I105" s="105"/>
      <c r="J105" s="368">
        <f>'As-Filed Schedule 3'!J105</f>
        <v>0</v>
      </c>
      <c r="K105" s="414">
        <f>'As-Filed Schedule 3'!K105</f>
        <v>0</v>
      </c>
      <c r="L105" s="416">
        <f>SUMIFS(Adjustments!$G:$G,Adjustments!$H:$H,"3",Adjustments!$I:$I,'Schedule 3 Adjustments'!$K$13,Adjustments!$J:$J,"18c")</f>
        <v>0</v>
      </c>
      <c r="M105" s="418">
        <f>SUM(K105:L105)</f>
        <v>0</v>
      </c>
      <c r="N105" s="90"/>
      <c r="O105" s="354"/>
      <c r="P105" s="88"/>
      <c r="Q105" s="350"/>
      <c r="R105" s="354"/>
      <c r="S105" s="88"/>
      <c r="T105" s="354"/>
      <c r="U105" s="88"/>
      <c r="V105" s="350"/>
      <c r="W105" s="354"/>
      <c r="X105" s="88"/>
      <c r="Y105" s="354"/>
      <c r="Z105" s="88"/>
      <c r="AA105" s="354"/>
      <c r="AB105" s="88"/>
      <c r="AC105" s="354"/>
    </row>
    <row r="106" spans="1:29" x14ac:dyDescent="0.35">
      <c r="J106" s="100"/>
      <c r="K106" s="391"/>
      <c r="L106" s="394"/>
      <c r="M106" s="395"/>
      <c r="N106" s="28"/>
      <c r="O106" s="346"/>
    </row>
    <row r="107" spans="1:29" s="34" customFormat="1" x14ac:dyDescent="0.35">
      <c r="A107" s="84">
        <v>19</v>
      </c>
      <c r="B107" s="518">
        <f>'As-Filed Schedule 3'!B107:C107</f>
        <v>0</v>
      </c>
      <c r="C107" s="519"/>
      <c r="D107" s="364">
        <f>'As-Filed Schedule 3'!D107</f>
        <v>0</v>
      </c>
      <c r="E107" s="364">
        <f>'As-Filed Schedule 3'!E107</f>
        <v>0</v>
      </c>
      <c r="F107" s="363">
        <f>'As-Filed Schedule 3'!F107</f>
        <v>0</v>
      </c>
      <c r="G107" s="362">
        <f>'As-Filed Schedule 3'!G107</f>
        <v>0</v>
      </c>
      <c r="H107" s="362">
        <f>'As-Filed Schedule 3'!H107</f>
        <v>0</v>
      </c>
      <c r="I107" s="139" t="str">
        <f>IF(B107=0,"",IF(AND(G107=0,H107=0),365,IF(AND(G107&gt;0,H107=0),$C$6-G107+1,IF(AND(G107=0,H107&gt;0),H107-($C$6-365),H107-G107+1))))</f>
        <v/>
      </c>
      <c r="J107" s="98"/>
      <c r="K107" s="413">
        <f>SUM(K108:K110)</f>
        <v>0</v>
      </c>
      <c r="L107" s="415">
        <f>SUM(L108:L110)</f>
        <v>0</v>
      </c>
      <c r="M107" s="417">
        <f>SUM(M108:M110)</f>
        <v>0</v>
      </c>
      <c r="N107" s="91" t="str">
        <f>IF(K107&gt;0,K107/(F107*I107),"")</f>
        <v/>
      </c>
      <c r="O107" s="345" t="str">
        <f>IF(M107&gt;0,M107/(F107*I107),"")</f>
        <v/>
      </c>
      <c r="P107" s="126">
        <f>'As-Filed Schedule 3'!M107</f>
        <v>0</v>
      </c>
      <c r="Q107" s="348">
        <f>SUMIFS(Adjustments!$G:$G,Adjustments!$H:$H,"3",Adjustments!$I:$I,'Schedule 3 Adjustments'!$P$13,Adjustments!$J:$J,'As-Filed Schedule 3'!A107)</f>
        <v>0</v>
      </c>
      <c r="R107" s="352">
        <f>SUM(P107:Q107)</f>
        <v>0</v>
      </c>
      <c r="S107" s="85" t="str">
        <f>IFERROR(P107/K107,"")</f>
        <v/>
      </c>
      <c r="T107" s="356" t="str">
        <f>IFERROR(R107/M107,"")</f>
        <v/>
      </c>
      <c r="U107" s="126">
        <f>'As-Filed Schedule 3'!O107</f>
        <v>0</v>
      </c>
      <c r="V107" s="348">
        <f>SUMIFS(Adjustments!$G:$G,Adjustments!$H:$H,"3",Adjustments!$I:$I,'Schedule 3 Adjustments'!$U$13,Adjustments!$J:$J,$A107)</f>
        <v>0</v>
      </c>
      <c r="W107" s="352">
        <f>SUM(U107:V107)</f>
        <v>0</v>
      </c>
      <c r="X107" s="85" t="str">
        <f>IFERROR(U107/K107,"")</f>
        <v/>
      </c>
      <c r="Y107" s="85" t="str">
        <f>IFERROR(W107/M107,"")</f>
        <v/>
      </c>
      <c r="Z107" s="86" t="str">
        <f>IF(P107=0,"",P107-U107)</f>
        <v/>
      </c>
      <c r="AA107" s="358" t="str">
        <f>IF(R107=0,"",R107-W107)</f>
        <v/>
      </c>
      <c r="AB107" s="85" t="str">
        <f>IFERROR(Z107/K107,"")</f>
        <v/>
      </c>
      <c r="AC107" s="356" t="str">
        <f>IFERROR(AA107/M107,"")</f>
        <v/>
      </c>
    </row>
    <row r="108" spans="1:29" x14ac:dyDescent="0.35">
      <c r="A108" s="101" t="s">
        <v>447</v>
      </c>
      <c r="B108" s="87"/>
      <c r="C108" s="87"/>
      <c r="D108" s="87"/>
      <c r="E108" s="87"/>
      <c r="F108" s="132"/>
      <c r="G108" s="135"/>
      <c r="H108" s="135"/>
      <c r="I108" s="104"/>
      <c r="J108" s="368">
        <f>'As-Filed Schedule 3'!J108</f>
        <v>0</v>
      </c>
      <c r="K108" s="414">
        <f>'As-Filed Schedule 3'!K108</f>
        <v>0</v>
      </c>
      <c r="L108" s="416">
        <f>SUMIFS(Adjustments!$G:$G,Adjustments!$H:$H,"3",Adjustments!$I:$I,'Schedule 3 Adjustments'!$K$13,Adjustments!$J:$J,"19a")</f>
        <v>0</v>
      </c>
      <c r="M108" s="418">
        <f>SUM(K108:L108)</f>
        <v>0</v>
      </c>
      <c r="N108" s="89"/>
      <c r="O108" s="353"/>
      <c r="P108" s="87"/>
      <c r="Q108" s="349"/>
      <c r="R108" s="353"/>
      <c r="S108" s="87"/>
      <c r="T108" s="353"/>
      <c r="U108" s="87"/>
      <c r="V108" s="349"/>
      <c r="W108" s="353"/>
      <c r="X108" s="87"/>
      <c r="Y108" s="353"/>
      <c r="Z108" s="87"/>
      <c r="AA108" s="353"/>
      <c r="AB108" s="87"/>
      <c r="AC108" s="353"/>
    </row>
    <row r="109" spans="1:29" x14ac:dyDescent="0.35">
      <c r="A109" s="102" t="s">
        <v>448</v>
      </c>
      <c r="B109" s="88"/>
      <c r="C109" s="88"/>
      <c r="D109" s="88"/>
      <c r="E109" s="88"/>
      <c r="F109" s="133"/>
      <c r="G109" s="136"/>
      <c r="H109" s="136"/>
      <c r="I109" s="105"/>
      <c r="J109" s="368">
        <f>'As-Filed Schedule 3'!J109</f>
        <v>0</v>
      </c>
      <c r="K109" s="414">
        <f>'As-Filed Schedule 3'!K109</f>
        <v>0</v>
      </c>
      <c r="L109" s="416">
        <f>SUMIFS(Adjustments!$G:$G,Adjustments!$H:$H,"3",Adjustments!$I:$I,'Schedule 3 Adjustments'!$K$13,Adjustments!$J:$J,"19b")</f>
        <v>0</v>
      </c>
      <c r="M109" s="418">
        <f>SUM(K109:L109)</f>
        <v>0</v>
      </c>
      <c r="N109" s="90"/>
      <c r="O109" s="354"/>
      <c r="P109" s="88"/>
      <c r="Q109" s="350"/>
      <c r="R109" s="354"/>
      <c r="S109" s="88"/>
      <c r="T109" s="354"/>
      <c r="U109" s="88"/>
      <c r="V109" s="350"/>
      <c r="W109" s="354"/>
      <c r="X109" s="88"/>
      <c r="Y109" s="354"/>
      <c r="Z109" s="88"/>
      <c r="AA109" s="354"/>
      <c r="AB109" s="88"/>
      <c r="AC109" s="354"/>
    </row>
    <row r="110" spans="1:29" x14ac:dyDescent="0.35">
      <c r="A110" s="103" t="s">
        <v>449</v>
      </c>
      <c r="B110" s="88"/>
      <c r="C110" s="88"/>
      <c r="D110" s="88"/>
      <c r="E110" s="88"/>
      <c r="F110" s="133"/>
      <c r="G110" s="136"/>
      <c r="H110" s="136"/>
      <c r="I110" s="105"/>
      <c r="J110" s="368">
        <f>'As-Filed Schedule 3'!J110</f>
        <v>0</v>
      </c>
      <c r="K110" s="414">
        <f>'As-Filed Schedule 3'!K110</f>
        <v>0</v>
      </c>
      <c r="L110" s="416">
        <f>SUMIFS(Adjustments!$G:$G,Adjustments!$H:$H,"3",Adjustments!$I:$I,'Schedule 3 Adjustments'!$K$13,Adjustments!$J:$J,"19c")</f>
        <v>0</v>
      </c>
      <c r="M110" s="418">
        <f>SUM(K110:L110)</f>
        <v>0</v>
      </c>
      <c r="N110" s="90"/>
      <c r="O110" s="354"/>
      <c r="P110" s="88"/>
      <c r="Q110" s="350"/>
      <c r="R110" s="354"/>
      <c r="S110" s="88"/>
      <c r="T110" s="354"/>
      <c r="U110" s="88"/>
      <c r="V110" s="350"/>
      <c r="W110" s="354"/>
      <c r="X110" s="88"/>
      <c r="Y110" s="354"/>
      <c r="Z110" s="88"/>
      <c r="AA110" s="354"/>
      <c r="AB110" s="88"/>
      <c r="AC110" s="354"/>
    </row>
    <row r="111" spans="1:29" x14ac:dyDescent="0.35">
      <c r="J111" s="100"/>
      <c r="N111" s="28"/>
      <c r="O111" s="346"/>
    </row>
    <row r="112" spans="1:29" s="34" customFormat="1" x14ac:dyDescent="0.35">
      <c r="A112" s="84">
        <v>20</v>
      </c>
      <c r="B112" s="518">
        <f>'As-Filed Schedule 3'!B112:C112</f>
        <v>0</v>
      </c>
      <c r="C112" s="519"/>
      <c r="D112" s="364">
        <f>'As-Filed Schedule 3'!D112</f>
        <v>0</v>
      </c>
      <c r="E112" s="364">
        <f>'As-Filed Schedule 3'!E112</f>
        <v>0</v>
      </c>
      <c r="F112" s="363">
        <f>'As-Filed Schedule 3'!F112</f>
        <v>0</v>
      </c>
      <c r="G112" s="362">
        <f>'As-Filed Schedule 3'!G112</f>
        <v>0</v>
      </c>
      <c r="H112" s="362">
        <f>'As-Filed Schedule 3'!H112</f>
        <v>0</v>
      </c>
      <c r="I112" s="139" t="str">
        <f>IF(B112=0,"",IF(AND(G112=0,H112=0),365,IF(AND(G112&gt;0,H112=0),$C$6-G112+1,IF(AND(G112=0,H112&gt;0),H112-($C$6-365),H112-G112+1))))</f>
        <v/>
      </c>
      <c r="J112" s="98"/>
      <c r="K112" s="413">
        <f>SUM(K113:K115)</f>
        <v>0</v>
      </c>
      <c r="L112" s="415">
        <f>SUM(L113:L115)</f>
        <v>0</v>
      </c>
      <c r="M112" s="417">
        <f>SUM(M113:M115)</f>
        <v>0</v>
      </c>
      <c r="N112" s="91" t="str">
        <f>IF(K112&gt;0,K112/(F112*I112),"")</f>
        <v/>
      </c>
      <c r="O112" s="345" t="str">
        <f>IF(M112&gt;0,M112/(F112*I112),"")</f>
        <v/>
      </c>
      <c r="P112" s="126">
        <f>'As-Filed Schedule 3'!M112</f>
        <v>0</v>
      </c>
      <c r="Q112" s="348">
        <f>SUMIFS(Adjustments!$G:$G,Adjustments!$H:$H,"3",Adjustments!$I:$I,'Schedule 3 Adjustments'!$P$13,Adjustments!$J:$J,'As-Filed Schedule 3'!A112)</f>
        <v>0</v>
      </c>
      <c r="R112" s="352">
        <f>SUM(P112:Q112)</f>
        <v>0</v>
      </c>
      <c r="S112" s="85" t="str">
        <f>IFERROR(P112/K112,"")</f>
        <v/>
      </c>
      <c r="T112" s="356" t="str">
        <f>IFERROR(R112/M112,"")</f>
        <v/>
      </c>
      <c r="U112" s="126">
        <f>'As-Filed Schedule 3'!O112</f>
        <v>0</v>
      </c>
      <c r="V112" s="348">
        <f>SUMIFS(Adjustments!$G:$G,Adjustments!$H:$H,"3",Adjustments!$I:$I,'Schedule 3 Adjustments'!$U$13,Adjustments!$J:$J,$A112)</f>
        <v>0</v>
      </c>
      <c r="W112" s="352">
        <f>SUM(U112:V112)</f>
        <v>0</v>
      </c>
      <c r="X112" s="85" t="str">
        <f>IFERROR(U112/K112,"")</f>
        <v/>
      </c>
      <c r="Y112" s="85" t="str">
        <f>IFERROR(W112/M112,"")</f>
        <v/>
      </c>
      <c r="Z112" s="86" t="str">
        <f>IF(P112=0,"",P112-U112)</f>
        <v/>
      </c>
      <c r="AA112" s="358" t="str">
        <f>IF(R112=0,"",R112-W112)</f>
        <v/>
      </c>
      <c r="AB112" s="85" t="str">
        <f>IFERROR(Z112/K112,"")</f>
        <v/>
      </c>
      <c r="AC112" s="356" t="str">
        <f>IFERROR(AA112/M112,"")</f>
        <v/>
      </c>
    </row>
    <row r="113" spans="1:29" x14ac:dyDescent="0.35">
      <c r="A113" s="101" t="s">
        <v>447</v>
      </c>
      <c r="B113" s="87"/>
      <c r="C113" s="87"/>
      <c r="D113" s="87"/>
      <c r="E113" s="87"/>
      <c r="F113" s="132"/>
      <c r="G113" s="135"/>
      <c r="H113" s="135"/>
      <c r="I113" s="104"/>
      <c r="J113" s="368">
        <f>'As-Filed Schedule 3'!J113</f>
        <v>0</v>
      </c>
      <c r="K113" s="414">
        <f>'As-Filed Schedule 3'!K113</f>
        <v>0</v>
      </c>
      <c r="L113" s="416">
        <f>SUMIFS(Adjustments!$G:$G,Adjustments!$H:$H,"3",Adjustments!$I:$I,'Schedule 3 Adjustments'!$K$13,Adjustments!$J:$J,"20a")</f>
        <v>0</v>
      </c>
      <c r="M113" s="418">
        <f>SUM(K113:L113)</f>
        <v>0</v>
      </c>
      <c r="N113" s="89"/>
      <c r="O113" s="353"/>
      <c r="P113" s="87"/>
      <c r="Q113" s="349"/>
      <c r="R113" s="353"/>
      <c r="S113" s="87"/>
      <c r="T113" s="353"/>
      <c r="U113" s="87"/>
      <c r="V113" s="349"/>
      <c r="W113" s="353"/>
      <c r="X113" s="87"/>
      <c r="Y113" s="353"/>
      <c r="Z113" s="87"/>
      <c r="AA113" s="353"/>
      <c r="AB113" s="87"/>
      <c r="AC113" s="353"/>
    </row>
    <row r="114" spans="1:29" x14ac:dyDescent="0.35">
      <c r="A114" s="102" t="s">
        <v>448</v>
      </c>
      <c r="B114" s="88"/>
      <c r="C114" s="88"/>
      <c r="D114" s="88"/>
      <c r="E114" s="88"/>
      <c r="F114" s="133"/>
      <c r="G114" s="136"/>
      <c r="H114" s="136"/>
      <c r="I114" s="105"/>
      <c r="J114" s="368">
        <f>'As-Filed Schedule 3'!J114</f>
        <v>0</v>
      </c>
      <c r="K114" s="414">
        <f>'As-Filed Schedule 3'!K114</f>
        <v>0</v>
      </c>
      <c r="L114" s="416">
        <f>SUMIFS(Adjustments!$G:$G,Adjustments!$H:$H,"3",Adjustments!$I:$I,'Schedule 3 Adjustments'!$K$13,Adjustments!$J:$J,"20b")</f>
        <v>0</v>
      </c>
      <c r="M114" s="418">
        <f>SUM(K114:L114)</f>
        <v>0</v>
      </c>
      <c r="N114" s="90"/>
      <c r="O114" s="354"/>
      <c r="P114" s="88"/>
      <c r="Q114" s="350"/>
      <c r="R114" s="354"/>
      <c r="S114" s="88"/>
      <c r="T114" s="354"/>
      <c r="U114" s="88"/>
      <c r="V114" s="350"/>
      <c r="W114" s="354"/>
      <c r="X114" s="88"/>
      <c r="Y114" s="354"/>
      <c r="Z114" s="88"/>
      <c r="AA114" s="354"/>
      <c r="AB114" s="88"/>
      <c r="AC114" s="354"/>
    </row>
    <row r="115" spans="1:29" x14ac:dyDescent="0.35">
      <c r="A115" s="103" t="s">
        <v>449</v>
      </c>
      <c r="B115" s="88"/>
      <c r="C115" s="88"/>
      <c r="D115" s="88"/>
      <c r="E115" s="88"/>
      <c r="F115" s="133"/>
      <c r="G115" s="136"/>
      <c r="H115" s="136"/>
      <c r="I115" s="105"/>
      <c r="J115" s="368">
        <f>'As-Filed Schedule 3'!J115</f>
        <v>0</v>
      </c>
      <c r="K115" s="414">
        <f>'As-Filed Schedule 3'!K115</f>
        <v>0</v>
      </c>
      <c r="L115" s="416">
        <f>SUMIFS(Adjustments!$G:$G,Adjustments!$H:$H,"3",Adjustments!$I:$I,'Schedule 3 Adjustments'!$K$13,Adjustments!$J:$J,"20c")</f>
        <v>0</v>
      </c>
      <c r="M115" s="418">
        <f>SUM(K115:L115)</f>
        <v>0</v>
      </c>
      <c r="N115" s="90"/>
      <c r="O115" s="354"/>
      <c r="P115" s="88"/>
      <c r="Q115" s="350"/>
      <c r="R115" s="354"/>
      <c r="S115" s="88"/>
      <c r="T115" s="354"/>
      <c r="U115" s="88"/>
      <c r="V115" s="350"/>
      <c r="W115" s="354"/>
      <c r="X115" s="88"/>
      <c r="Y115" s="354"/>
      <c r="Z115" s="88"/>
      <c r="AA115" s="354"/>
      <c r="AB115" s="88"/>
      <c r="AC115" s="354"/>
    </row>
    <row r="116" spans="1:29" x14ac:dyDescent="0.35">
      <c r="J116" s="100"/>
      <c r="N116" s="28"/>
      <c r="O116" s="346"/>
    </row>
    <row r="117" spans="1:29" s="34" customFormat="1" x14ac:dyDescent="0.35">
      <c r="A117" s="84">
        <v>21</v>
      </c>
      <c r="B117" s="518">
        <f>'As-Filed Schedule 3'!B117:C117</f>
        <v>0</v>
      </c>
      <c r="C117" s="519"/>
      <c r="D117" s="364">
        <f>'As-Filed Schedule 3'!D117</f>
        <v>0</v>
      </c>
      <c r="E117" s="364">
        <f>'As-Filed Schedule 3'!E117</f>
        <v>0</v>
      </c>
      <c r="F117" s="363">
        <f>'As-Filed Schedule 3'!F117</f>
        <v>0</v>
      </c>
      <c r="G117" s="362">
        <f>'As-Filed Schedule 3'!G117</f>
        <v>0</v>
      </c>
      <c r="H117" s="362">
        <f>'As-Filed Schedule 3'!H117</f>
        <v>0</v>
      </c>
      <c r="I117" s="139" t="str">
        <f>IF(B117=0,"",IF(AND(G117=0,H117=0),365,IF(AND(G117&gt;0,H117=0),$C$6-G117+1,IF(AND(G117=0,H117&gt;0),H117-($C$6-365),H117-G117+1))))</f>
        <v/>
      </c>
      <c r="J117" s="98"/>
      <c r="K117" s="413">
        <f>SUM(K118:K120)</f>
        <v>0</v>
      </c>
      <c r="L117" s="415">
        <f>SUM(L118:L120)</f>
        <v>0</v>
      </c>
      <c r="M117" s="417">
        <f>SUM(M118:M120)</f>
        <v>0</v>
      </c>
      <c r="N117" s="91" t="str">
        <f>IF(K117&gt;0,K117/(F117*I117),"")</f>
        <v/>
      </c>
      <c r="O117" s="345" t="str">
        <f>IF(M117&gt;0,M117/(F117*I117),"")</f>
        <v/>
      </c>
      <c r="P117" s="126">
        <f>'As-Filed Schedule 3'!M117</f>
        <v>0</v>
      </c>
      <c r="Q117" s="348">
        <f>SUMIFS(Adjustments!$G:$G,Adjustments!$H:$H,"3",Adjustments!$I:$I,'Schedule 3 Adjustments'!$P$13,Adjustments!$J:$J,'As-Filed Schedule 3'!A117)</f>
        <v>0</v>
      </c>
      <c r="R117" s="352">
        <f>SUM(P117:Q117)</f>
        <v>0</v>
      </c>
      <c r="S117" s="85" t="str">
        <f>IFERROR(P117/K117,"")</f>
        <v/>
      </c>
      <c r="T117" s="356" t="str">
        <f>IFERROR(R117/M117,"")</f>
        <v/>
      </c>
      <c r="U117" s="126">
        <f>'As-Filed Schedule 3'!O117</f>
        <v>0</v>
      </c>
      <c r="V117" s="348">
        <f>SUMIFS(Adjustments!$G:$G,Adjustments!$H:$H,"3",Adjustments!$I:$I,'Schedule 3 Adjustments'!$U$13,Adjustments!$J:$J,$A117)</f>
        <v>0</v>
      </c>
      <c r="W117" s="352">
        <f>SUM(U117:V117)</f>
        <v>0</v>
      </c>
      <c r="X117" s="85" t="str">
        <f>IFERROR(U117/K117,"")</f>
        <v/>
      </c>
      <c r="Y117" s="85" t="str">
        <f>IFERROR(W117/M117,"")</f>
        <v/>
      </c>
      <c r="Z117" s="86" t="str">
        <f>IF(P117=0,"",P117-U117)</f>
        <v/>
      </c>
      <c r="AA117" s="358" t="str">
        <f>IF(R117=0,"",R117-W117)</f>
        <v/>
      </c>
      <c r="AB117" s="85" t="str">
        <f>IFERROR(Z117/K117,"")</f>
        <v/>
      </c>
      <c r="AC117" s="356" t="str">
        <f>IFERROR(AA117/M117,"")</f>
        <v/>
      </c>
    </row>
    <row r="118" spans="1:29" x14ac:dyDescent="0.35">
      <c r="A118" s="101" t="s">
        <v>447</v>
      </c>
      <c r="B118" s="87"/>
      <c r="C118" s="87"/>
      <c r="D118" s="87"/>
      <c r="E118" s="87"/>
      <c r="F118" s="132"/>
      <c r="G118" s="135"/>
      <c r="H118" s="135"/>
      <c r="I118" s="104"/>
      <c r="J118" s="368">
        <f>'As-Filed Schedule 3'!J118</f>
        <v>0</v>
      </c>
      <c r="K118" s="414">
        <f>'As-Filed Schedule 3'!K118</f>
        <v>0</v>
      </c>
      <c r="L118" s="416">
        <f>SUMIFS(Adjustments!$G:$G,Adjustments!$H:$H,"3",Adjustments!$I:$I,'Schedule 3 Adjustments'!$K$13,Adjustments!$J:$J,"21a")</f>
        <v>0</v>
      </c>
      <c r="M118" s="418">
        <f>SUM(K118:L118)</f>
        <v>0</v>
      </c>
      <c r="N118" s="89"/>
      <c r="O118" s="353"/>
      <c r="P118" s="87"/>
      <c r="Q118" s="349"/>
      <c r="R118" s="353"/>
      <c r="S118" s="87"/>
      <c r="T118" s="353"/>
      <c r="U118" s="87"/>
      <c r="V118" s="349"/>
      <c r="W118" s="353"/>
      <c r="X118" s="87"/>
      <c r="Y118" s="353"/>
      <c r="Z118" s="87"/>
      <c r="AA118" s="353"/>
      <c r="AB118" s="87"/>
      <c r="AC118" s="353"/>
    </row>
    <row r="119" spans="1:29" x14ac:dyDescent="0.35">
      <c r="A119" s="102" t="s">
        <v>448</v>
      </c>
      <c r="B119" s="88"/>
      <c r="C119" s="88"/>
      <c r="D119" s="88"/>
      <c r="E119" s="88"/>
      <c r="F119" s="133"/>
      <c r="G119" s="136"/>
      <c r="H119" s="136"/>
      <c r="I119" s="105"/>
      <c r="J119" s="368">
        <f>'As-Filed Schedule 3'!J119</f>
        <v>0</v>
      </c>
      <c r="K119" s="414">
        <f>'As-Filed Schedule 3'!K119</f>
        <v>0</v>
      </c>
      <c r="L119" s="416">
        <f>SUMIFS(Adjustments!$G:$G,Adjustments!$H:$H,"3",Adjustments!$I:$I,'Schedule 3 Adjustments'!$K$13,Adjustments!$J:$J,"21b")</f>
        <v>0</v>
      </c>
      <c r="M119" s="418">
        <f>SUM(K119:L119)</f>
        <v>0</v>
      </c>
      <c r="N119" s="90"/>
      <c r="O119" s="354"/>
      <c r="P119" s="88"/>
      <c r="Q119" s="350"/>
      <c r="R119" s="354"/>
      <c r="S119" s="88"/>
      <c r="T119" s="354"/>
      <c r="U119" s="88"/>
      <c r="V119" s="350"/>
      <c r="W119" s="354"/>
      <c r="X119" s="88"/>
      <c r="Y119" s="354"/>
      <c r="Z119" s="88"/>
      <c r="AA119" s="354"/>
      <c r="AB119" s="88"/>
      <c r="AC119" s="354"/>
    </row>
    <row r="120" spans="1:29" x14ac:dyDescent="0.35">
      <c r="A120" s="103" t="s">
        <v>449</v>
      </c>
      <c r="B120" s="88"/>
      <c r="C120" s="88"/>
      <c r="D120" s="88"/>
      <c r="E120" s="88"/>
      <c r="F120" s="133"/>
      <c r="G120" s="136"/>
      <c r="H120" s="136"/>
      <c r="I120" s="105"/>
      <c r="J120" s="368">
        <f>'As-Filed Schedule 3'!J120</f>
        <v>0</v>
      </c>
      <c r="K120" s="414">
        <f>'As-Filed Schedule 3'!K120</f>
        <v>0</v>
      </c>
      <c r="L120" s="416">
        <f>SUMIFS(Adjustments!$G:$G,Adjustments!$H:$H,"3",Adjustments!$I:$I,'Schedule 3 Adjustments'!$K$13,Adjustments!$J:$J,"21c")</f>
        <v>0</v>
      </c>
      <c r="M120" s="418">
        <f>SUM(K120:L120)</f>
        <v>0</v>
      </c>
      <c r="N120" s="90"/>
      <c r="O120" s="354"/>
      <c r="P120" s="88"/>
      <c r="Q120" s="350"/>
      <c r="R120" s="354"/>
      <c r="S120" s="88"/>
      <c r="T120" s="354"/>
      <c r="U120" s="88"/>
      <c r="V120" s="350"/>
      <c r="W120" s="354"/>
      <c r="X120" s="88"/>
      <c r="Y120" s="354"/>
      <c r="Z120" s="88"/>
      <c r="AA120" s="354"/>
      <c r="AB120" s="88"/>
      <c r="AC120" s="354"/>
    </row>
    <row r="121" spans="1:29" x14ac:dyDescent="0.35">
      <c r="J121" s="100"/>
      <c r="N121" s="28"/>
      <c r="O121" s="346"/>
    </row>
    <row r="122" spans="1:29" s="34" customFormat="1" x14ac:dyDescent="0.35">
      <c r="A122" s="84">
        <v>22</v>
      </c>
      <c r="B122" s="518">
        <f>'As-Filed Schedule 3'!B122:C122</f>
        <v>0</v>
      </c>
      <c r="C122" s="519"/>
      <c r="D122" s="364">
        <f>'As-Filed Schedule 3'!D122</f>
        <v>0</v>
      </c>
      <c r="E122" s="364">
        <f>'As-Filed Schedule 3'!E122</f>
        <v>0</v>
      </c>
      <c r="F122" s="363">
        <f>'As-Filed Schedule 3'!F122</f>
        <v>0</v>
      </c>
      <c r="G122" s="362">
        <f>'As-Filed Schedule 3'!G122</f>
        <v>0</v>
      </c>
      <c r="H122" s="362">
        <f>'As-Filed Schedule 3'!H122</f>
        <v>0</v>
      </c>
      <c r="I122" s="139" t="str">
        <f>IF(B122=0,"",IF(AND(G122=0,H122=0),365,IF(AND(G122&gt;0,H122=0),$C$6-G122+1,IF(AND(G122=0,H122&gt;0),H122-($C$6-365),H122-G122+1))))</f>
        <v/>
      </c>
      <c r="J122" s="98"/>
      <c r="K122" s="413">
        <f>SUM(K123:K125)</f>
        <v>0</v>
      </c>
      <c r="L122" s="415">
        <f>SUM(L123:L125)</f>
        <v>0</v>
      </c>
      <c r="M122" s="417">
        <f>SUM(M123:M125)</f>
        <v>0</v>
      </c>
      <c r="N122" s="91" t="str">
        <f>IF(K122&gt;0,K122/(F122*I122),"")</f>
        <v/>
      </c>
      <c r="O122" s="345" t="str">
        <f>IF(M122&gt;0,M122/(F122*I122),"")</f>
        <v/>
      </c>
      <c r="P122" s="126">
        <f>'As-Filed Schedule 3'!M122</f>
        <v>0</v>
      </c>
      <c r="Q122" s="348">
        <f>SUMIFS(Adjustments!$G:$G,Adjustments!$H:$H,"3",Adjustments!$I:$I,'Schedule 3 Adjustments'!$P$13,Adjustments!$J:$J,'As-Filed Schedule 3'!A122)</f>
        <v>0</v>
      </c>
      <c r="R122" s="352">
        <f>SUM(P122:Q122)</f>
        <v>0</v>
      </c>
      <c r="S122" s="85" t="str">
        <f>IFERROR(P122/K122,"")</f>
        <v/>
      </c>
      <c r="T122" s="356" t="str">
        <f>IFERROR(R122/M122,"")</f>
        <v/>
      </c>
      <c r="U122" s="126">
        <f>'As-Filed Schedule 3'!O122</f>
        <v>0</v>
      </c>
      <c r="V122" s="348">
        <f>SUMIFS(Adjustments!$G:$G,Adjustments!$H:$H,"3",Adjustments!$I:$I,'Schedule 3 Adjustments'!$U$13,Adjustments!$J:$J,$A122)</f>
        <v>0</v>
      </c>
      <c r="W122" s="352">
        <f>SUM(U122:V122)</f>
        <v>0</v>
      </c>
      <c r="X122" s="85" t="str">
        <f>IFERROR(U122/K122,"")</f>
        <v/>
      </c>
      <c r="Y122" s="85" t="str">
        <f>IFERROR(W122/M122,"")</f>
        <v/>
      </c>
      <c r="Z122" s="86" t="str">
        <f>IF(P122=0,"",P122-U122)</f>
        <v/>
      </c>
      <c r="AA122" s="358" t="str">
        <f>IF(R122=0,"",R122-W122)</f>
        <v/>
      </c>
      <c r="AB122" s="85" t="str">
        <f>IFERROR(Z122/K122,"")</f>
        <v/>
      </c>
      <c r="AC122" s="356" t="str">
        <f>IFERROR(AA122/M122,"")</f>
        <v/>
      </c>
    </row>
    <row r="123" spans="1:29" x14ac:dyDescent="0.35">
      <c r="A123" s="101" t="s">
        <v>447</v>
      </c>
      <c r="B123" s="87"/>
      <c r="C123" s="87"/>
      <c r="D123" s="87"/>
      <c r="E123" s="87"/>
      <c r="F123" s="132"/>
      <c r="G123" s="135"/>
      <c r="H123" s="135"/>
      <c r="I123" s="104"/>
      <c r="J123" s="368">
        <f>'As-Filed Schedule 3'!J123</f>
        <v>0</v>
      </c>
      <c r="K123" s="414">
        <f>'As-Filed Schedule 3'!K123</f>
        <v>0</v>
      </c>
      <c r="L123" s="416">
        <f>SUMIFS(Adjustments!$G:$G,Adjustments!$H:$H,"3",Adjustments!$I:$I,'Schedule 3 Adjustments'!$K$13,Adjustments!$J:$J,"22a")</f>
        <v>0</v>
      </c>
      <c r="M123" s="418">
        <f>SUM(K123:L123)</f>
        <v>0</v>
      </c>
      <c r="N123" s="89"/>
      <c r="O123" s="353"/>
      <c r="P123" s="87"/>
      <c r="Q123" s="349"/>
      <c r="R123" s="353"/>
      <c r="S123" s="87"/>
      <c r="T123" s="353"/>
      <c r="U123" s="87"/>
      <c r="V123" s="349"/>
      <c r="W123" s="353"/>
      <c r="X123" s="87"/>
      <c r="Y123" s="353"/>
      <c r="Z123" s="87"/>
      <c r="AA123" s="353"/>
      <c r="AB123" s="87"/>
      <c r="AC123" s="353"/>
    </row>
    <row r="124" spans="1:29" x14ac:dyDescent="0.35">
      <c r="A124" s="102" t="s">
        <v>448</v>
      </c>
      <c r="B124" s="88"/>
      <c r="C124" s="88"/>
      <c r="D124" s="88"/>
      <c r="E124" s="88"/>
      <c r="F124" s="133"/>
      <c r="G124" s="136"/>
      <c r="H124" s="136"/>
      <c r="I124" s="105"/>
      <c r="J124" s="368">
        <f>'As-Filed Schedule 3'!J124</f>
        <v>0</v>
      </c>
      <c r="K124" s="414">
        <f>'As-Filed Schedule 3'!K124</f>
        <v>0</v>
      </c>
      <c r="L124" s="416">
        <f>SUMIFS(Adjustments!$G:$G,Adjustments!$H:$H,"3",Adjustments!$I:$I,'Schedule 3 Adjustments'!$K$13,Adjustments!$J:$J,"22b")</f>
        <v>0</v>
      </c>
      <c r="M124" s="418">
        <f>SUM(K124:L124)</f>
        <v>0</v>
      </c>
      <c r="N124" s="90"/>
      <c r="O124" s="354"/>
      <c r="P124" s="88"/>
      <c r="Q124" s="350"/>
      <c r="R124" s="354"/>
      <c r="S124" s="88"/>
      <c r="T124" s="354"/>
      <c r="U124" s="88"/>
      <c r="V124" s="350"/>
      <c r="W124" s="354"/>
      <c r="X124" s="88"/>
      <c r="Y124" s="354"/>
      <c r="Z124" s="88"/>
      <c r="AA124" s="354"/>
      <c r="AB124" s="88"/>
      <c r="AC124" s="354"/>
    </row>
    <row r="125" spans="1:29" x14ac:dyDescent="0.35">
      <c r="A125" s="103" t="s">
        <v>449</v>
      </c>
      <c r="B125" s="88"/>
      <c r="C125" s="88"/>
      <c r="D125" s="88"/>
      <c r="E125" s="88"/>
      <c r="F125" s="133"/>
      <c r="G125" s="136"/>
      <c r="H125" s="136"/>
      <c r="I125" s="105"/>
      <c r="J125" s="368">
        <f>'As-Filed Schedule 3'!J125</f>
        <v>0</v>
      </c>
      <c r="K125" s="414">
        <f>'As-Filed Schedule 3'!K125</f>
        <v>0</v>
      </c>
      <c r="L125" s="416">
        <f>SUMIFS(Adjustments!$G:$G,Adjustments!$H:$H,"3",Adjustments!$I:$I,'Schedule 3 Adjustments'!$K$13,Adjustments!$J:$J,"22c")</f>
        <v>0</v>
      </c>
      <c r="M125" s="418">
        <f>SUM(K125:L125)</f>
        <v>0</v>
      </c>
      <c r="N125" s="90"/>
      <c r="O125" s="354"/>
      <c r="P125" s="88"/>
      <c r="Q125" s="350"/>
      <c r="R125" s="354"/>
      <c r="S125" s="88"/>
      <c r="T125" s="354"/>
      <c r="U125" s="88"/>
      <c r="V125" s="350"/>
      <c r="W125" s="354"/>
      <c r="X125" s="88"/>
      <c r="Y125" s="354"/>
      <c r="Z125" s="88"/>
      <c r="AA125" s="354"/>
      <c r="AB125" s="88"/>
      <c r="AC125" s="354"/>
    </row>
    <row r="126" spans="1:29" x14ac:dyDescent="0.35">
      <c r="J126" s="100"/>
      <c r="N126" s="28"/>
      <c r="O126" s="346"/>
    </row>
    <row r="127" spans="1:29" s="34" customFormat="1" x14ac:dyDescent="0.35">
      <c r="A127" s="84">
        <v>23</v>
      </c>
      <c r="B127" s="518">
        <f>'As-Filed Schedule 3'!B127:C127</f>
        <v>0</v>
      </c>
      <c r="C127" s="519"/>
      <c r="D127" s="364">
        <f>'As-Filed Schedule 3'!D127</f>
        <v>0</v>
      </c>
      <c r="E127" s="364">
        <f>'As-Filed Schedule 3'!E127</f>
        <v>0</v>
      </c>
      <c r="F127" s="363">
        <f>'As-Filed Schedule 3'!F127</f>
        <v>0</v>
      </c>
      <c r="G127" s="362">
        <f>'As-Filed Schedule 3'!G127</f>
        <v>0</v>
      </c>
      <c r="H127" s="362">
        <f>'As-Filed Schedule 3'!H127</f>
        <v>0</v>
      </c>
      <c r="I127" s="139" t="str">
        <f>IF(B127=0,"",IF(AND(G127=0,H127=0),365,IF(AND(G127&gt;0,H127=0),$C$6-G127+1,IF(AND(G127=0,H127&gt;0),H127-($C$6-365),H127-G127+1))))</f>
        <v/>
      </c>
      <c r="J127" s="98"/>
      <c r="K127" s="413">
        <f>SUM(K128:K130)</f>
        <v>0</v>
      </c>
      <c r="L127" s="415">
        <f>SUM(L128:L130)</f>
        <v>0</v>
      </c>
      <c r="M127" s="417">
        <f>SUM(M128:M130)</f>
        <v>0</v>
      </c>
      <c r="N127" s="91" t="str">
        <f>IF(K127&gt;0,K127/(F127*I127),"")</f>
        <v/>
      </c>
      <c r="O127" s="345" t="str">
        <f>IF(M127&gt;0,M127/(F127*I127),"")</f>
        <v/>
      </c>
      <c r="P127" s="126">
        <f>'As-Filed Schedule 3'!M127</f>
        <v>0</v>
      </c>
      <c r="Q127" s="348">
        <f>SUMIFS(Adjustments!$G:$G,Adjustments!$H:$H,"3",Adjustments!$I:$I,'Schedule 3 Adjustments'!$P$13,Adjustments!$J:$J,'As-Filed Schedule 3'!A127)</f>
        <v>0</v>
      </c>
      <c r="R127" s="352">
        <f>SUM(P127:Q127)</f>
        <v>0</v>
      </c>
      <c r="S127" s="85" t="str">
        <f>IFERROR(P127/K127,"")</f>
        <v/>
      </c>
      <c r="T127" s="356" t="str">
        <f>IFERROR(R127/M127,"")</f>
        <v/>
      </c>
      <c r="U127" s="126">
        <f>'As-Filed Schedule 3'!O127</f>
        <v>0</v>
      </c>
      <c r="V127" s="348">
        <f>SUMIFS(Adjustments!$G:$G,Adjustments!$H:$H,"3",Adjustments!$I:$I,'Schedule 3 Adjustments'!$U$13,Adjustments!$J:$J,$A127)</f>
        <v>0</v>
      </c>
      <c r="W127" s="352">
        <f>SUM(U127:V127)</f>
        <v>0</v>
      </c>
      <c r="X127" s="85" t="str">
        <f>IFERROR(U127/K127,"")</f>
        <v/>
      </c>
      <c r="Y127" s="85" t="str">
        <f>IFERROR(W127/M127,"")</f>
        <v/>
      </c>
      <c r="Z127" s="86" t="str">
        <f>IF(P127=0,"",P127-U127)</f>
        <v/>
      </c>
      <c r="AA127" s="358" t="str">
        <f>IF(R127=0,"",R127-W127)</f>
        <v/>
      </c>
      <c r="AB127" s="85" t="str">
        <f>IFERROR(Z127/K127,"")</f>
        <v/>
      </c>
      <c r="AC127" s="356" t="str">
        <f>IFERROR(AA127/M127,"")</f>
        <v/>
      </c>
    </row>
    <row r="128" spans="1:29" x14ac:dyDescent="0.35">
      <c r="A128" s="101" t="s">
        <v>447</v>
      </c>
      <c r="B128" s="87"/>
      <c r="C128" s="87"/>
      <c r="D128" s="87"/>
      <c r="E128" s="87"/>
      <c r="F128" s="132"/>
      <c r="G128" s="135"/>
      <c r="H128" s="135"/>
      <c r="I128" s="104"/>
      <c r="J128" s="368">
        <f>'As-Filed Schedule 3'!J128</f>
        <v>0</v>
      </c>
      <c r="K128" s="414">
        <f>'As-Filed Schedule 3'!K128</f>
        <v>0</v>
      </c>
      <c r="L128" s="416">
        <f>SUMIFS(Adjustments!$G:$G,Adjustments!$H:$H,"3",Adjustments!$I:$I,'Schedule 3 Adjustments'!$K$13,Adjustments!$J:$J,"23a")</f>
        <v>0</v>
      </c>
      <c r="M128" s="418">
        <f>SUM(K128:L128)</f>
        <v>0</v>
      </c>
      <c r="N128" s="89"/>
      <c r="O128" s="353"/>
      <c r="P128" s="87"/>
      <c r="Q128" s="349"/>
      <c r="R128" s="353"/>
      <c r="S128" s="87"/>
      <c r="T128" s="353"/>
      <c r="U128" s="87"/>
      <c r="V128" s="349"/>
      <c r="W128" s="353"/>
      <c r="X128" s="87"/>
      <c r="Y128" s="353"/>
      <c r="Z128" s="87"/>
      <c r="AA128" s="353"/>
      <c r="AB128" s="87"/>
      <c r="AC128" s="353"/>
    </row>
    <row r="129" spans="1:29" x14ac:dyDescent="0.35">
      <c r="A129" s="102" t="s">
        <v>448</v>
      </c>
      <c r="B129" s="88"/>
      <c r="C129" s="88"/>
      <c r="D129" s="88"/>
      <c r="E129" s="88"/>
      <c r="F129" s="133"/>
      <c r="G129" s="136"/>
      <c r="H129" s="136"/>
      <c r="I129" s="105"/>
      <c r="J129" s="368">
        <f>'As-Filed Schedule 3'!J129</f>
        <v>0</v>
      </c>
      <c r="K129" s="414">
        <f>'As-Filed Schedule 3'!K129</f>
        <v>0</v>
      </c>
      <c r="L129" s="416">
        <f>SUMIFS(Adjustments!$G:$G,Adjustments!$H:$H,"3",Adjustments!$I:$I,'Schedule 3 Adjustments'!$K$13,Adjustments!$J:$J,"23b")</f>
        <v>0</v>
      </c>
      <c r="M129" s="418">
        <f>SUM(K129:L129)</f>
        <v>0</v>
      </c>
      <c r="N129" s="90"/>
      <c r="O129" s="354"/>
      <c r="P129" s="88"/>
      <c r="Q129" s="350"/>
      <c r="R129" s="354"/>
      <c r="S129" s="88"/>
      <c r="T129" s="354"/>
      <c r="U129" s="88"/>
      <c r="V129" s="350"/>
      <c r="W129" s="354"/>
      <c r="X129" s="88"/>
      <c r="Y129" s="354"/>
      <c r="Z129" s="88"/>
      <c r="AA129" s="354"/>
      <c r="AB129" s="88"/>
      <c r="AC129" s="354"/>
    </row>
    <row r="130" spans="1:29" x14ac:dyDescent="0.35">
      <c r="A130" s="103" t="s">
        <v>449</v>
      </c>
      <c r="B130" s="88"/>
      <c r="C130" s="88"/>
      <c r="D130" s="88"/>
      <c r="E130" s="88"/>
      <c r="F130" s="133"/>
      <c r="G130" s="136"/>
      <c r="H130" s="136"/>
      <c r="I130" s="105"/>
      <c r="J130" s="368">
        <f>'As-Filed Schedule 3'!J130</f>
        <v>0</v>
      </c>
      <c r="K130" s="414">
        <f>'As-Filed Schedule 3'!K130</f>
        <v>0</v>
      </c>
      <c r="L130" s="416">
        <f>SUMIFS(Adjustments!$G:$G,Adjustments!$H:$H,"3",Adjustments!$I:$I,'Schedule 3 Adjustments'!$K$13,Adjustments!$J:$J,"23c")</f>
        <v>0</v>
      </c>
      <c r="M130" s="418">
        <f>SUM(K130:L130)</f>
        <v>0</v>
      </c>
      <c r="N130" s="90"/>
      <c r="O130" s="354"/>
      <c r="P130" s="88"/>
      <c r="Q130" s="350"/>
      <c r="R130" s="354"/>
      <c r="S130" s="88"/>
      <c r="T130" s="354"/>
      <c r="U130" s="88"/>
      <c r="V130" s="350"/>
      <c r="W130" s="354"/>
      <c r="X130" s="88"/>
      <c r="Y130" s="354"/>
      <c r="Z130" s="88"/>
      <c r="AA130" s="354"/>
      <c r="AB130" s="88"/>
      <c r="AC130" s="354"/>
    </row>
    <row r="131" spans="1:29" x14ac:dyDescent="0.35">
      <c r="J131" s="100"/>
      <c r="N131" s="28"/>
      <c r="O131" s="346"/>
    </row>
    <row r="132" spans="1:29" s="34" customFormat="1" x14ac:dyDescent="0.35">
      <c r="A132" s="84">
        <v>24</v>
      </c>
      <c r="B132" s="518">
        <f>'As-Filed Schedule 3'!B132:C132</f>
        <v>0</v>
      </c>
      <c r="C132" s="519"/>
      <c r="D132" s="364">
        <f>'As-Filed Schedule 3'!D132</f>
        <v>0</v>
      </c>
      <c r="E132" s="364">
        <f>'As-Filed Schedule 3'!E132</f>
        <v>0</v>
      </c>
      <c r="F132" s="363">
        <f>'As-Filed Schedule 3'!F132</f>
        <v>0</v>
      </c>
      <c r="G132" s="362">
        <f>'As-Filed Schedule 3'!G132</f>
        <v>0</v>
      </c>
      <c r="H132" s="362">
        <f>'As-Filed Schedule 3'!H132</f>
        <v>0</v>
      </c>
      <c r="I132" s="139" t="str">
        <f>IF(B132=0,"",IF(AND(G132=0,H132=0),365,IF(AND(G132&gt;0,H132=0),$C$6-G132+1,IF(AND(G132=0,H132&gt;0),H132-($C$6-365),H132-G132+1))))</f>
        <v/>
      </c>
      <c r="J132" s="98"/>
      <c r="K132" s="413">
        <f>SUM(K133:K135)</f>
        <v>0</v>
      </c>
      <c r="L132" s="415">
        <f>SUM(L133:L135)</f>
        <v>0</v>
      </c>
      <c r="M132" s="417">
        <f>SUM(M133:M135)</f>
        <v>0</v>
      </c>
      <c r="N132" s="91" t="str">
        <f>IF(K132&gt;0,K132/(F132*I132),"")</f>
        <v/>
      </c>
      <c r="O132" s="345" t="str">
        <f>IF(M132&gt;0,M132/(F132*I132),"")</f>
        <v/>
      </c>
      <c r="P132" s="126">
        <f>'As-Filed Schedule 3'!M132</f>
        <v>0</v>
      </c>
      <c r="Q132" s="348">
        <f>SUMIFS(Adjustments!$G:$G,Adjustments!$H:$H,"3",Adjustments!$I:$I,'Schedule 3 Adjustments'!$P$13,Adjustments!$J:$J,'As-Filed Schedule 3'!A132)</f>
        <v>0</v>
      </c>
      <c r="R132" s="352">
        <f>SUM(P132:Q132)</f>
        <v>0</v>
      </c>
      <c r="S132" s="85" t="str">
        <f>IFERROR(P132/K132,"")</f>
        <v/>
      </c>
      <c r="T132" s="356" t="str">
        <f>IFERROR(R132/M132,"")</f>
        <v/>
      </c>
      <c r="U132" s="126">
        <f>'As-Filed Schedule 3'!O132</f>
        <v>0</v>
      </c>
      <c r="V132" s="348">
        <f>SUMIFS(Adjustments!$G:$G,Adjustments!$H:$H,"3",Adjustments!$I:$I,'Schedule 3 Adjustments'!$U$13,Adjustments!$J:$J,$A132)</f>
        <v>0</v>
      </c>
      <c r="W132" s="352">
        <f>SUM(U132:V132)</f>
        <v>0</v>
      </c>
      <c r="X132" s="85" t="str">
        <f>IFERROR(U132/K132,"")</f>
        <v/>
      </c>
      <c r="Y132" s="85" t="str">
        <f>IFERROR(W132/M132,"")</f>
        <v/>
      </c>
      <c r="Z132" s="86" t="str">
        <f>IF(P132=0,"",P132-U132)</f>
        <v/>
      </c>
      <c r="AA132" s="358" t="str">
        <f>IF(R132=0,"",R132-W132)</f>
        <v/>
      </c>
      <c r="AB132" s="85" t="str">
        <f>IFERROR(Z132/K132,"")</f>
        <v/>
      </c>
      <c r="AC132" s="356" t="str">
        <f>IFERROR(AA132/M132,"")</f>
        <v/>
      </c>
    </row>
    <row r="133" spans="1:29" x14ac:dyDescent="0.35">
      <c r="A133" s="101" t="s">
        <v>447</v>
      </c>
      <c r="B133" s="87"/>
      <c r="C133" s="87"/>
      <c r="D133" s="87"/>
      <c r="E133" s="87"/>
      <c r="F133" s="132"/>
      <c r="G133" s="135"/>
      <c r="H133" s="135"/>
      <c r="I133" s="104"/>
      <c r="J133" s="368">
        <f>'As-Filed Schedule 3'!J133</f>
        <v>0</v>
      </c>
      <c r="K133" s="414">
        <f>'As-Filed Schedule 3'!K133</f>
        <v>0</v>
      </c>
      <c r="L133" s="416">
        <f>SUMIFS(Adjustments!$G:$G,Adjustments!$H:$H,"3",Adjustments!$I:$I,'Schedule 3 Adjustments'!$K$13,Adjustments!$J:$J,"24a")</f>
        <v>0</v>
      </c>
      <c r="M133" s="418">
        <f>SUM(K133:L133)</f>
        <v>0</v>
      </c>
      <c r="N133" s="89"/>
      <c r="O133" s="353"/>
      <c r="P133" s="87"/>
      <c r="Q133" s="349"/>
      <c r="R133" s="353"/>
      <c r="S133" s="87"/>
      <c r="T133" s="353"/>
      <c r="U133" s="87"/>
      <c r="V133" s="349"/>
      <c r="W133" s="353"/>
      <c r="X133" s="87"/>
      <c r="Y133" s="353"/>
      <c r="Z133" s="87"/>
      <c r="AA133" s="353"/>
      <c r="AB133" s="87"/>
      <c r="AC133" s="353"/>
    </row>
    <row r="134" spans="1:29" x14ac:dyDescent="0.35">
      <c r="A134" s="102" t="s">
        <v>448</v>
      </c>
      <c r="B134" s="88"/>
      <c r="C134" s="88"/>
      <c r="D134" s="88"/>
      <c r="E134" s="88"/>
      <c r="F134" s="133"/>
      <c r="G134" s="136"/>
      <c r="H134" s="136"/>
      <c r="I134" s="105"/>
      <c r="J134" s="368">
        <f>'As-Filed Schedule 3'!J134</f>
        <v>0</v>
      </c>
      <c r="K134" s="414">
        <f>'As-Filed Schedule 3'!K134</f>
        <v>0</v>
      </c>
      <c r="L134" s="416">
        <f>SUMIFS(Adjustments!$G:$G,Adjustments!$H:$H,"3",Adjustments!$I:$I,'Schedule 3 Adjustments'!$K$13,Adjustments!$J:$J,"24b")</f>
        <v>0</v>
      </c>
      <c r="M134" s="418">
        <f>SUM(K134:L134)</f>
        <v>0</v>
      </c>
      <c r="N134" s="90"/>
      <c r="O134" s="354"/>
      <c r="P134" s="88"/>
      <c r="Q134" s="350"/>
      <c r="R134" s="354"/>
      <c r="S134" s="88"/>
      <c r="T134" s="354"/>
      <c r="U134" s="88"/>
      <c r="V134" s="350"/>
      <c r="W134" s="354"/>
      <c r="X134" s="88"/>
      <c r="Y134" s="354"/>
      <c r="Z134" s="88"/>
      <c r="AA134" s="354"/>
      <c r="AB134" s="88"/>
      <c r="AC134" s="354"/>
    </row>
    <row r="135" spans="1:29" x14ac:dyDescent="0.35">
      <c r="A135" s="103" t="s">
        <v>449</v>
      </c>
      <c r="B135" s="88"/>
      <c r="C135" s="88"/>
      <c r="D135" s="88"/>
      <c r="E135" s="88"/>
      <c r="F135" s="133"/>
      <c r="G135" s="136"/>
      <c r="H135" s="136"/>
      <c r="I135" s="105"/>
      <c r="J135" s="368">
        <f>'As-Filed Schedule 3'!J135</f>
        <v>0</v>
      </c>
      <c r="K135" s="414">
        <f>'As-Filed Schedule 3'!K135</f>
        <v>0</v>
      </c>
      <c r="L135" s="416">
        <f>SUMIFS(Adjustments!$G:$G,Adjustments!$H:$H,"3",Adjustments!$I:$I,'Schedule 3 Adjustments'!$K$13,Adjustments!$J:$J,"24c")</f>
        <v>0</v>
      </c>
      <c r="M135" s="418">
        <f>SUM(K135:L135)</f>
        <v>0</v>
      </c>
      <c r="N135" s="90"/>
      <c r="O135" s="354"/>
      <c r="P135" s="88"/>
      <c r="Q135" s="350"/>
      <c r="R135" s="354"/>
      <c r="S135" s="88"/>
      <c r="T135" s="354"/>
      <c r="U135" s="88"/>
      <c r="V135" s="350"/>
      <c r="W135" s="354"/>
      <c r="X135" s="88"/>
      <c r="Y135" s="354"/>
      <c r="Z135" s="88"/>
      <c r="AA135" s="354"/>
      <c r="AB135" s="88"/>
      <c r="AC135" s="354"/>
    </row>
    <row r="136" spans="1:29" x14ac:dyDescent="0.35">
      <c r="J136" s="100"/>
      <c r="N136" s="28"/>
      <c r="O136" s="346"/>
    </row>
    <row r="137" spans="1:29" s="34" customFormat="1" x14ac:dyDescent="0.35">
      <c r="A137" s="84">
        <v>25</v>
      </c>
      <c r="B137" s="518">
        <f>'As-Filed Schedule 3'!B137:C137</f>
        <v>0</v>
      </c>
      <c r="C137" s="519"/>
      <c r="D137" s="364">
        <f>'As-Filed Schedule 3'!D137</f>
        <v>0</v>
      </c>
      <c r="E137" s="364">
        <f>'As-Filed Schedule 3'!E137</f>
        <v>0</v>
      </c>
      <c r="F137" s="363">
        <f>'As-Filed Schedule 3'!F137</f>
        <v>0</v>
      </c>
      <c r="G137" s="362">
        <f>'As-Filed Schedule 3'!G137</f>
        <v>0</v>
      </c>
      <c r="H137" s="362">
        <f>'As-Filed Schedule 3'!H137</f>
        <v>0</v>
      </c>
      <c r="I137" s="139" t="str">
        <f>IF(B137=0,"",IF(AND(G137=0,H137=0),365,IF(AND(G137&gt;0,H137=0),$C$6-G137+1,IF(AND(G137=0,H137&gt;0),H137-($C$6-365),H137-G137+1))))</f>
        <v/>
      </c>
      <c r="J137" s="98"/>
      <c r="K137" s="413">
        <f>SUM(K138:K140)</f>
        <v>0</v>
      </c>
      <c r="L137" s="415">
        <f>SUM(L138:L140)</f>
        <v>0</v>
      </c>
      <c r="M137" s="417">
        <f>SUM(M138:M140)</f>
        <v>0</v>
      </c>
      <c r="N137" s="91" t="str">
        <f>IF(K137&gt;0,K137/(F137*I137),"")</f>
        <v/>
      </c>
      <c r="O137" s="345" t="str">
        <f>IF(M137&gt;0,M137/(F137*I137),"")</f>
        <v/>
      </c>
      <c r="P137" s="126">
        <f>'As-Filed Schedule 3'!M137</f>
        <v>0</v>
      </c>
      <c r="Q137" s="348">
        <f>SUMIFS(Adjustments!$G:$G,Adjustments!$H:$H,"3",Adjustments!$I:$I,'Schedule 3 Adjustments'!$P$13,Adjustments!$J:$J,'As-Filed Schedule 3'!A137)</f>
        <v>0</v>
      </c>
      <c r="R137" s="352">
        <f>SUM(P137:Q137)</f>
        <v>0</v>
      </c>
      <c r="S137" s="85" t="str">
        <f>IFERROR(P137/K137,"")</f>
        <v/>
      </c>
      <c r="T137" s="356" t="str">
        <f>IFERROR(R137/M137,"")</f>
        <v/>
      </c>
      <c r="U137" s="126">
        <f>'As-Filed Schedule 3'!O137</f>
        <v>0</v>
      </c>
      <c r="V137" s="348">
        <f>SUMIFS(Adjustments!$G:$G,Adjustments!$H:$H,"3",Adjustments!$I:$I,'Schedule 3 Adjustments'!$U$13,Adjustments!$J:$J,$A137)</f>
        <v>0</v>
      </c>
      <c r="W137" s="352">
        <f>SUM(U137:V137)</f>
        <v>0</v>
      </c>
      <c r="X137" s="85" t="str">
        <f>IFERROR(U137/K137,"")</f>
        <v/>
      </c>
      <c r="Y137" s="85" t="str">
        <f>IFERROR(W137/M137,"")</f>
        <v/>
      </c>
      <c r="Z137" s="86" t="str">
        <f>IF(P137=0,"",P137-U137)</f>
        <v/>
      </c>
      <c r="AA137" s="358" t="str">
        <f>IF(R137=0,"",R137-W137)</f>
        <v/>
      </c>
      <c r="AB137" s="85" t="str">
        <f>IFERROR(Z137/K137,"")</f>
        <v/>
      </c>
      <c r="AC137" s="356" t="str">
        <f>IFERROR(AA137/M137,"")</f>
        <v/>
      </c>
    </row>
    <row r="138" spans="1:29" x14ac:dyDescent="0.35">
      <c r="A138" s="101" t="s">
        <v>447</v>
      </c>
      <c r="B138" s="87"/>
      <c r="C138" s="87"/>
      <c r="D138" s="87"/>
      <c r="E138" s="87"/>
      <c r="F138" s="132"/>
      <c r="G138" s="135"/>
      <c r="H138" s="135"/>
      <c r="I138" s="104"/>
      <c r="J138" s="368">
        <f>'As-Filed Schedule 3'!J138</f>
        <v>0</v>
      </c>
      <c r="K138" s="414">
        <f>'As-Filed Schedule 3'!K138</f>
        <v>0</v>
      </c>
      <c r="L138" s="416">
        <f>SUMIFS(Adjustments!$G:$G,Adjustments!$H:$H,"3",Adjustments!$I:$I,'Schedule 3 Adjustments'!$K$13,Adjustments!$J:$J,"25a")</f>
        <v>0</v>
      </c>
      <c r="M138" s="418">
        <f>SUM(K138:L138)</f>
        <v>0</v>
      </c>
      <c r="N138" s="89"/>
      <c r="O138" s="353"/>
      <c r="P138" s="87"/>
      <c r="Q138" s="349"/>
      <c r="R138" s="353"/>
      <c r="S138" s="87"/>
      <c r="T138" s="353"/>
      <c r="U138" s="87"/>
      <c r="V138" s="349"/>
      <c r="W138" s="353"/>
      <c r="X138" s="87"/>
      <c r="Y138" s="353"/>
      <c r="Z138" s="87"/>
      <c r="AA138" s="353"/>
      <c r="AB138" s="87"/>
      <c r="AC138" s="353"/>
    </row>
    <row r="139" spans="1:29" x14ac:dyDescent="0.35">
      <c r="A139" s="102" t="s">
        <v>448</v>
      </c>
      <c r="B139" s="88"/>
      <c r="C139" s="88"/>
      <c r="D139" s="88"/>
      <c r="E139" s="88"/>
      <c r="F139" s="133"/>
      <c r="G139" s="136"/>
      <c r="H139" s="136"/>
      <c r="I139" s="105"/>
      <c r="J139" s="368">
        <f>'As-Filed Schedule 3'!J139</f>
        <v>0</v>
      </c>
      <c r="K139" s="414">
        <f>'As-Filed Schedule 3'!K139</f>
        <v>0</v>
      </c>
      <c r="L139" s="416">
        <f>SUMIFS(Adjustments!$G:$G,Adjustments!$H:$H,"3",Adjustments!$I:$I,'Schedule 3 Adjustments'!$K$13,Adjustments!$J:$J,"25b")</f>
        <v>0</v>
      </c>
      <c r="M139" s="418">
        <f>SUM(K139:L139)</f>
        <v>0</v>
      </c>
      <c r="N139" s="90"/>
      <c r="O139" s="354"/>
      <c r="P139" s="88"/>
      <c r="Q139" s="350"/>
      <c r="R139" s="354"/>
      <c r="S139" s="88"/>
      <c r="T139" s="354"/>
      <c r="U139" s="88"/>
      <c r="V139" s="350"/>
      <c r="W139" s="354"/>
      <c r="X139" s="88"/>
      <c r="Y139" s="354"/>
      <c r="Z139" s="88"/>
      <c r="AA139" s="354"/>
      <c r="AB139" s="88"/>
      <c r="AC139" s="354"/>
    </row>
    <row r="140" spans="1:29" x14ac:dyDescent="0.35">
      <c r="A140" s="103" t="s">
        <v>449</v>
      </c>
      <c r="B140" s="88"/>
      <c r="C140" s="88"/>
      <c r="D140" s="88"/>
      <c r="E140" s="88"/>
      <c r="F140" s="133"/>
      <c r="G140" s="136"/>
      <c r="H140" s="136"/>
      <c r="I140" s="105"/>
      <c r="J140" s="368">
        <f>'As-Filed Schedule 3'!J140</f>
        <v>0</v>
      </c>
      <c r="K140" s="414">
        <f>'As-Filed Schedule 3'!K140</f>
        <v>0</v>
      </c>
      <c r="L140" s="416">
        <f>SUMIFS(Adjustments!$G:$G,Adjustments!$H:$H,"3",Adjustments!$I:$I,'Schedule 3 Adjustments'!$K$13,Adjustments!$J:$J,"25c")</f>
        <v>0</v>
      </c>
      <c r="M140" s="418">
        <f>SUM(K140:L140)</f>
        <v>0</v>
      </c>
      <c r="N140" s="90"/>
      <c r="O140" s="354"/>
      <c r="P140" s="88"/>
      <c r="Q140" s="350"/>
      <c r="R140" s="354"/>
      <c r="S140" s="88"/>
      <c r="T140" s="354"/>
      <c r="U140" s="88"/>
      <c r="V140" s="350"/>
      <c r="W140" s="354"/>
      <c r="X140" s="88"/>
      <c r="Y140" s="354"/>
      <c r="Z140" s="88"/>
      <c r="AA140" s="354"/>
      <c r="AB140" s="88"/>
      <c r="AC140" s="354"/>
    </row>
    <row r="141" spans="1:29" x14ac:dyDescent="0.35">
      <c r="J141" s="100"/>
      <c r="N141" s="28"/>
      <c r="O141" s="346"/>
    </row>
    <row r="142" spans="1:29" s="34" customFormat="1" x14ac:dyDescent="0.35">
      <c r="A142" s="84">
        <v>26</v>
      </c>
      <c r="B142" s="518">
        <f>'As-Filed Schedule 3'!B142:C142</f>
        <v>0</v>
      </c>
      <c r="C142" s="519"/>
      <c r="D142" s="364">
        <f>'As-Filed Schedule 3'!D142</f>
        <v>0</v>
      </c>
      <c r="E142" s="364">
        <f>'As-Filed Schedule 3'!E142</f>
        <v>0</v>
      </c>
      <c r="F142" s="363">
        <f>'As-Filed Schedule 3'!F142</f>
        <v>0</v>
      </c>
      <c r="G142" s="362">
        <f>'As-Filed Schedule 3'!G142</f>
        <v>0</v>
      </c>
      <c r="H142" s="362">
        <f>'As-Filed Schedule 3'!H142</f>
        <v>0</v>
      </c>
      <c r="I142" s="139" t="str">
        <f>IF(B142=0,"",IF(AND(G142=0,H142=0),365,IF(AND(G142&gt;0,H142=0),$C$6-G142+1,IF(AND(G142=0,H142&gt;0),H142-($C$6-365),H142-G142+1))))</f>
        <v/>
      </c>
      <c r="J142" s="98"/>
      <c r="K142" s="413">
        <f>SUM(K143:K145)</f>
        <v>0</v>
      </c>
      <c r="L142" s="415">
        <f>SUM(L143:L145)</f>
        <v>0</v>
      </c>
      <c r="M142" s="417">
        <f>SUM(M143:M145)</f>
        <v>0</v>
      </c>
      <c r="N142" s="91" t="str">
        <f>IF(K142&gt;0,K142/(F142*I142),"")</f>
        <v/>
      </c>
      <c r="O142" s="345" t="str">
        <f>IF(M142&gt;0,M142/(F142*I142),"")</f>
        <v/>
      </c>
      <c r="P142" s="126">
        <f>'As-Filed Schedule 3'!M142</f>
        <v>0</v>
      </c>
      <c r="Q142" s="348">
        <f>SUMIFS(Adjustments!$G:$G,Adjustments!$H:$H,"3",Adjustments!$I:$I,'Schedule 3 Adjustments'!$P$13,Adjustments!$J:$J,'As-Filed Schedule 3'!A142)</f>
        <v>0</v>
      </c>
      <c r="R142" s="352">
        <f>SUM(P142:Q142)</f>
        <v>0</v>
      </c>
      <c r="S142" s="85" t="str">
        <f>IFERROR(P142/K142,"")</f>
        <v/>
      </c>
      <c r="T142" s="356" t="str">
        <f>IFERROR(R142/M142,"")</f>
        <v/>
      </c>
      <c r="U142" s="126">
        <f>'As-Filed Schedule 3'!O142</f>
        <v>0</v>
      </c>
      <c r="V142" s="348">
        <f>SUMIFS(Adjustments!$G:$G,Adjustments!$H:$H,"3",Adjustments!$I:$I,'Schedule 3 Adjustments'!$U$13,Adjustments!$J:$J,$A142)</f>
        <v>0</v>
      </c>
      <c r="W142" s="352">
        <f>SUM(U142:V142)</f>
        <v>0</v>
      </c>
      <c r="X142" s="85" t="str">
        <f>IFERROR(U142/K142,"")</f>
        <v/>
      </c>
      <c r="Y142" s="85" t="str">
        <f>IFERROR(W142/M142,"")</f>
        <v/>
      </c>
      <c r="Z142" s="86" t="str">
        <f>IF(P142=0,"",P142-U142)</f>
        <v/>
      </c>
      <c r="AA142" s="358" t="str">
        <f>IF(R142=0,"",R142-W142)</f>
        <v/>
      </c>
      <c r="AB142" s="85" t="str">
        <f>IFERROR(Z142/K142,"")</f>
        <v/>
      </c>
      <c r="AC142" s="356" t="str">
        <f>IFERROR(AA142/M142,"")</f>
        <v/>
      </c>
    </row>
    <row r="143" spans="1:29" x14ac:dyDescent="0.35">
      <c r="A143" s="101" t="s">
        <v>447</v>
      </c>
      <c r="B143" s="87"/>
      <c r="C143" s="87"/>
      <c r="D143" s="87"/>
      <c r="E143" s="87"/>
      <c r="F143" s="132"/>
      <c r="G143" s="135"/>
      <c r="H143" s="135"/>
      <c r="I143" s="104"/>
      <c r="J143" s="368">
        <f>'As-Filed Schedule 3'!J143</f>
        <v>0</v>
      </c>
      <c r="K143" s="414">
        <f>'As-Filed Schedule 3'!K143</f>
        <v>0</v>
      </c>
      <c r="L143" s="416">
        <f>SUMIFS(Adjustments!$G:$G,Adjustments!$H:$H,"3",Adjustments!$I:$I,'Schedule 3 Adjustments'!$K$13,Adjustments!$J:$J,"26a")</f>
        <v>0</v>
      </c>
      <c r="M143" s="418">
        <f>SUM(K143:L143)</f>
        <v>0</v>
      </c>
      <c r="N143" s="89"/>
      <c r="O143" s="353"/>
      <c r="P143" s="87"/>
      <c r="Q143" s="349"/>
      <c r="R143" s="353"/>
      <c r="S143" s="87"/>
      <c r="T143" s="353"/>
      <c r="U143" s="87"/>
      <c r="V143" s="349"/>
      <c r="W143" s="353"/>
      <c r="X143" s="87"/>
      <c r="Y143" s="353"/>
      <c r="Z143" s="87"/>
      <c r="AA143" s="353"/>
      <c r="AB143" s="87"/>
      <c r="AC143" s="353"/>
    </row>
    <row r="144" spans="1:29" x14ac:dyDescent="0.35">
      <c r="A144" s="102" t="s">
        <v>448</v>
      </c>
      <c r="B144" s="88"/>
      <c r="C144" s="88"/>
      <c r="D144" s="88"/>
      <c r="E144" s="88"/>
      <c r="F144" s="133"/>
      <c r="G144" s="136"/>
      <c r="H144" s="136"/>
      <c r="I144" s="105"/>
      <c r="J144" s="368">
        <f>'As-Filed Schedule 3'!J144</f>
        <v>0</v>
      </c>
      <c r="K144" s="414">
        <f>'As-Filed Schedule 3'!K144</f>
        <v>0</v>
      </c>
      <c r="L144" s="416">
        <f>SUMIFS(Adjustments!$G:$G,Adjustments!$H:$H,"3",Adjustments!$I:$I,'Schedule 3 Adjustments'!$K$13,Adjustments!$J:$J,"26b")</f>
        <v>0</v>
      </c>
      <c r="M144" s="418">
        <f>SUM(K144:L144)</f>
        <v>0</v>
      </c>
      <c r="N144" s="90"/>
      <c r="O144" s="354"/>
      <c r="P144" s="88"/>
      <c r="Q144" s="350"/>
      <c r="R144" s="354"/>
      <c r="S144" s="88"/>
      <c r="T144" s="354"/>
      <c r="U144" s="88"/>
      <c r="V144" s="350"/>
      <c r="W144" s="354"/>
      <c r="X144" s="88"/>
      <c r="Y144" s="354"/>
      <c r="Z144" s="88"/>
      <c r="AA144" s="354"/>
      <c r="AB144" s="88"/>
      <c r="AC144" s="354"/>
    </row>
    <row r="145" spans="1:29" x14ac:dyDescent="0.35">
      <c r="A145" s="103" t="s">
        <v>449</v>
      </c>
      <c r="B145" s="88"/>
      <c r="C145" s="88"/>
      <c r="D145" s="88"/>
      <c r="E145" s="88"/>
      <c r="F145" s="133"/>
      <c r="G145" s="136"/>
      <c r="H145" s="136"/>
      <c r="I145" s="105"/>
      <c r="J145" s="368">
        <f>'As-Filed Schedule 3'!J145</f>
        <v>0</v>
      </c>
      <c r="K145" s="414">
        <f>'As-Filed Schedule 3'!K145</f>
        <v>0</v>
      </c>
      <c r="L145" s="416">
        <f>SUMIFS(Adjustments!$G:$G,Adjustments!$H:$H,"3",Adjustments!$I:$I,'Schedule 3 Adjustments'!$K$13,Adjustments!$J:$J,"26c")</f>
        <v>0</v>
      </c>
      <c r="M145" s="418">
        <f>SUM(K145:L145)</f>
        <v>0</v>
      </c>
      <c r="N145" s="90"/>
      <c r="O145" s="354"/>
      <c r="P145" s="88"/>
      <c r="Q145" s="350"/>
      <c r="R145" s="354"/>
      <c r="S145" s="88"/>
      <c r="T145" s="354"/>
      <c r="U145" s="88"/>
      <c r="V145" s="350"/>
      <c r="W145" s="354"/>
      <c r="X145" s="88"/>
      <c r="Y145" s="354"/>
      <c r="Z145" s="88"/>
      <c r="AA145" s="354"/>
      <c r="AB145" s="88"/>
      <c r="AC145" s="354"/>
    </row>
    <row r="146" spans="1:29" x14ac:dyDescent="0.35">
      <c r="J146" s="100"/>
      <c r="N146" s="28"/>
      <c r="O146" s="346"/>
    </row>
    <row r="147" spans="1:29" s="34" customFormat="1" x14ac:dyDescent="0.35">
      <c r="A147" s="84">
        <v>27</v>
      </c>
      <c r="B147" s="518">
        <f>'As-Filed Schedule 3'!B147:C147</f>
        <v>0</v>
      </c>
      <c r="C147" s="519"/>
      <c r="D147" s="364">
        <f>'As-Filed Schedule 3'!D147</f>
        <v>0</v>
      </c>
      <c r="E147" s="364">
        <f>'As-Filed Schedule 3'!E147</f>
        <v>0</v>
      </c>
      <c r="F147" s="363">
        <f>'As-Filed Schedule 3'!F147</f>
        <v>0</v>
      </c>
      <c r="G147" s="362">
        <f>'As-Filed Schedule 3'!G147</f>
        <v>0</v>
      </c>
      <c r="H147" s="362">
        <f>'As-Filed Schedule 3'!H147</f>
        <v>0</v>
      </c>
      <c r="I147" s="139" t="str">
        <f>IF(B147=0,"",IF(AND(G147=0,H147=0),365,IF(AND(G147&gt;0,H147=0),$C$6-G147+1,IF(AND(G147=0,H147&gt;0),H147-($C$6-365),H147-G147+1))))</f>
        <v/>
      </c>
      <c r="J147" s="98"/>
      <c r="K147" s="413">
        <f>SUM(K148:K150)</f>
        <v>0</v>
      </c>
      <c r="L147" s="415">
        <f>SUM(L148:L150)</f>
        <v>0</v>
      </c>
      <c r="M147" s="417">
        <f>SUM(M148:M150)</f>
        <v>0</v>
      </c>
      <c r="N147" s="91" t="str">
        <f>IF(K147&gt;0,K147/(F147*I147),"")</f>
        <v/>
      </c>
      <c r="O147" s="345" t="str">
        <f>IF(M147&gt;0,M147/(F147*I147),"")</f>
        <v/>
      </c>
      <c r="P147" s="126">
        <f>'As-Filed Schedule 3'!M147</f>
        <v>0</v>
      </c>
      <c r="Q147" s="348">
        <f>SUMIFS(Adjustments!$G:$G,Adjustments!$H:$H,"3",Adjustments!$I:$I,'Schedule 3 Adjustments'!$P$13,Adjustments!$J:$J,'As-Filed Schedule 3'!A147)</f>
        <v>0</v>
      </c>
      <c r="R147" s="352">
        <f>SUM(P147:Q147)</f>
        <v>0</v>
      </c>
      <c r="S147" s="85" t="str">
        <f>IFERROR(P147/K147,"")</f>
        <v/>
      </c>
      <c r="T147" s="356" t="str">
        <f>IFERROR(R147/M147,"")</f>
        <v/>
      </c>
      <c r="U147" s="126">
        <f>'As-Filed Schedule 3'!O147</f>
        <v>0</v>
      </c>
      <c r="V147" s="348">
        <f>SUMIFS(Adjustments!$G:$G,Adjustments!$H:$H,"3",Adjustments!$I:$I,'Schedule 3 Adjustments'!$U$13,Adjustments!$J:$J,$A147)</f>
        <v>0</v>
      </c>
      <c r="W147" s="352">
        <f>SUM(U147:V147)</f>
        <v>0</v>
      </c>
      <c r="X147" s="85" t="str">
        <f>IFERROR(U147/K147,"")</f>
        <v/>
      </c>
      <c r="Y147" s="85" t="str">
        <f>IFERROR(W147/M147,"")</f>
        <v/>
      </c>
      <c r="Z147" s="86" t="str">
        <f>IF(P147=0,"",P147-U147)</f>
        <v/>
      </c>
      <c r="AA147" s="358" t="str">
        <f>IF(R147=0,"",R147-W147)</f>
        <v/>
      </c>
      <c r="AB147" s="85" t="str">
        <f>IFERROR(Z147/K147,"")</f>
        <v/>
      </c>
      <c r="AC147" s="356" t="str">
        <f>IFERROR(AA147/M147,"")</f>
        <v/>
      </c>
    </row>
    <row r="148" spans="1:29" x14ac:dyDescent="0.35">
      <c r="A148" s="101" t="s">
        <v>447</v>
      </c>
      <c r="B148" s="87"/>
      <c r="C148" s="87"/>
      <c r="D148" s="87"/>
      <c r="E148" s="87"/>
      <c r="F148" s="132"/>
      <c r="G148" s="135"/>
      <c r="H148" s="135"/>
      <c r="I148" s="104"/>
      <c r="J148" s="368">
        <f>'As-Filed Schedule 3'!J148</f>
        <v>0</v>
      </c>
      <c r="K148" s="414">
        <f>'As-Filed Schedule 3'!K148</f>
        <v>0</v>
      </c>
      <c r="L148" s="416">
        <f>SUMIFS(Adjustments!$G:$G,Adjustments!$H:$H,"3",Adjustments!$I:$I,'Schedule 3 Adjustments'!$K$13,Adjustments!$J:$J,"27a")</f>
        <v>0</v>
      </c>
      <c r="M148" s="418">
        <f>SUM(K148:L148)</f>
        <v>0</v>
      </c>
      <c r="N148" s="89"/>
      <c r="O148" s="353"/>
      <c r="P148" s="87"/>
      <c r="Q148" s="349"/>
      <c r="R148" s="353"/>
      <c r="S148" s="87"/>
      <c r="T148" s="353"/>
      <c r="U148" s="87"/>
      <c r="V148" s="349"/>
      <c r="W148" s="353"/>
      <c r="X148" s="87"/>
      <c r="Y148" s="353"/>
      <c r="Z148" s="87"/>
      <c r="AA148" s="353"/>
      <c r="AB148" s="87"/>
      <c r="AC148" s="353"/>
    </row>
    <row r="149" spans="1:29" x14ac:dyDescent="0.35">
      <c r="A149" s="102" t="s">
        <v>448</v>
      </c>
      <c r="B149" s="88"/>
      <c r="C149" s="88"/>
      <c r="D149" s="88"/>
      <c r="E149" s="88"/>
      <c r="F149" s="133"/>
      <c r="G149" s="136"/>
      <c r="H149" s="136"/>
      <c r="I149" s="105"/>
      <c r="J149" s="368">
        <f>'As-Filed Schedule 3'!J149</f>
        <v>0</v>
      </c>
      <c r="K149" s="414">
        <f>'As-Filed Schedule 3'!K149</f>
        <v>0</v>
      </c>
      <c r="L149" s="416">
        <f>SUMIFS(Adjustments!$G:$G,Adjustments!$H:$H,"3",Adjustments!$I:$I,'Schedule 3 Adjustments'!$K$13,Adjustments!$J:$J,"27b")</f>
        <v>0</v>
      </c>
      <c r="M149" s="418">
        <f>SUM(K149:L149)</f>
        <v>0</v>
      </c>
      <c r="N149" s="90"/>
      <c r="O149" s="354"/>
      <c r="P149" s="88"/>
      <c r="Q149" s="350"/>
      <c r="R149" s="354"/>
      <c r="S149" s="88"/>
      <c r="T149" s="354"/>
      <c r="U149" s="88"/>
      <c r="V149" s="350"/>
      <c r="W149" s="354"/>
      <c r="X149" s="88"/>
      <c r="Y149" s="354"/>
      <c r="Z149" s="88"/>
      <c r="AA149" s="354"/>
      <c r="AB149" s="88"/>
      <c r="AC149" s="354"/>
    </row>
    <row r="150" spans="1:29" x14ac:dyDescent="0.35">
      <c r="A150" s="103" t="s">
        <v>449</v>
      </c>
      <c r="B150" s="88"/>
      <c r="C150" s="88"/>
      <c r="D150" s="88"/>
      <c r="E150" s="88"/>
      <c r="F150" s="133"/>
      <c r="G150" s="136"/>
      <c r="H150" s="136"/>
      <c r="I150" s="105"/>
      <c r="J150" s="368">
        <f>'As-Filed Schedule 3'!J150</f>
        <v>0</v>
      </c>
      <c r="K150" s="414">
        <f>'As-Filed Schedule 3'!K150</f>
        <v>0</v>
      </c>
      <c r="L150" s="416">
        <f>SUMIFS(Adjustments!$G:$G,Adjustments!$H:$H,"3",Adjustments!$I:$I,'Schedule 3 Adjustments'!$K$13,Adjustments!$J:$J,"27c")</f>
        <v>0</v>
      </c>
      <c r="M150" s="418">
        <f>SUM(K150:L150)</f>
        <v>0</v>
      </c>
      <c r="N150" s="90"/>
      <c r="O150" s="354"/>
      <c r="P150" s="88"/>
      <c r="Q150" s="350"/>
      <c r="R150" s="354"/>
      <c r="S150" s="88"/>
      <c r="T150" s="354"/>
      <c r="U150" s="88"/>
      <c r="V150" s="350"/>
      <c r="W150" s="354"/>
      <c r="X150" s="88"/>
      <c r="Y150" s="354"/>
      <c r="Z150" s="88"/>
      <c r="AA150" s="354"/>
      <c r="AB150" s="88"/>
      <c r="AC150" s="354"/>
    </row>
    <row r="151" spans="1:29" x14ac:dyDescent="0.35">
      <c r="J151" s="100"/>
      <c r="N151" s="28"/>
      <c r="O151" s="346"/>
    </row>
    <row r="152" spans="1:29" s="34" customFormat="1" x14ac:dyDescent="0.35">
      <c r="A152" s="84">
        <v>28</v>
      </c>
      <c r="B152" s="518">
        <f>'As-Filed Schedule 3'!B152:C152</f>
        <v>0</v>
      </c>
      <c r="C152" s="519"/>
      <c r="D152" s="364">
        <f>'As-Filed Schedule 3'!D152</f>
        <v>0</v>
      </c>
      <c r="E152" s="364">
        <f>'As-Filed Schedule 3'!E152</f>
        <v>0</v>
      </c>
      <c r="F152" s="363">
        <f>'As-Filed Schedule 3'!F152</f>
        <v>0</v>
      </c>
      <c r="G152" s="362">
        <f>'As-Filed Schedule 3'!G152</f>
        <v>0</v>
      </c>
      <c r="H152" s="362">
        <f>'As-Filed Schedule 3'!H152</f>
        <v>0</v>
      </c>
      <c r="I152" s="139" t="str">
        <f>IF(B152=0,"",IF(AND(G152=0,H152=0),365,IF(AND(G152&gt;0,H152=0),$C$6-G152+1,IF(AND(G152=0,H152&gt;0),H152-($C$6-365),H152-G152+1))))</f>
        <v/>
      </c>
      <c r="J152" s="98"/>
      <c r="K152" s="413">
        <f>SUM(K153:K155)</f>
        <v>0</v>
      </c>
      <c r="L152" s="415">
        <f>SUM(L153:L155)</f>
        <v>0</v>
      </c>
      <c r="M152" s="417">
        <f>SUM(M153:M155)</f>
        <v>0</v>
      </c>
      <c r="N152" s="91" t="str">
        <f>IF(K152&gt;0,K152/(F152*I152),"")</f>
        <v/>
      </c>
      <c r="O152" s="345" t="str">
        <f>IF(M152&gt;0,M152/(F152*I152),"")</f>
        <v/>
      </c>
      <c r="P152" s="126">
        <f>'As-Filed Schedule 3'!M152</f>
        <v>0</v>
      </c>
      <c r="Q152" s="348">
        <f>SUMIFS(Adjustments!$G:$G,Adjustments!$H:$H,"3",Adjustments!$I:$I,'Schedule 3 Adjustments'!$P$13,Adjustments!$J:$J,'As-Filed Schedule 3'!A152)</f>
        <v>0</v>
      </c>
      <c r="R152" s="352">
        <f>SUM(P152:Q152)</f>
        <v>0</v>
      </c>
      <c r="S152" s="85" t="str">
        <f>IFERROR(P152/K152,"")</f>
        <v/>
      </c>
      <c r="T152" s="356" t="str">
        <f>IFERROR(R152/M152,"")</f>
        <v/>
      </c>
      <c r="U152" s="126">
        <f>'As-Filed Schedule 3'!O152</f>
        <v>0</v>
      </c>
      <c r="V152" s="348">
        <f>SUMIFS(Adjustments!$G:$G,Adjustments!$H:$H,"3",Adjustments!$I:$I,'Schedule 3 Adjustments'!$U$13,Adjustments!$J:$J,$A152)</f>
        <v>0</v>
      </c>
      <c r="W152" s="352">
        <f>SUM(U152:V152)</f>
        <v>0</v>
      </c>
      <c r="X152" s="85" t="str">
        <f>IFERROR(U152/K152,"")</f>
        <v/>
      </c>
      <c r="Y152" s="85" t="str">
        <f>IFERROR(W152/M152,"")</f>
        <v/>
      </c>
      <c r="Z152" s="86" t="str">
        <f>IF(P152=0,"",P152-U152)</f>
        <v/>
      </c>
      <c r="AA152" s="358" t="str">
        <f>IF(R152=0,"",R152-W152)</f>
        <v/>
      </c>
      <c r="AB152" s="85" t="str">
        <f>IFERROR(Z152/K152,"")</f>
        <v/>
      </c>
      <c r="AC152" s="356" t="str">
        <f>IFERROR(AA152/M152,"")</f>
        <v/>
      </c>
    </row>
    <row r="153" spans="1:29" x14ac:dyDescent="0.35">
      <c r="A153" s="101" t="s">
        <v>447</v>
      </c>
      <c r="B153" s="87"/>
      <c r="C153" s="87"/>
      <c r="D153" s="87"/>
      <c r="E153" s="87"/>
      <c r="F153" s="132"/>
      <c r="G153" s="135"/>
      <c r="H153" s="135"/>
      <c r="I153" s="104"/>
      <c r="J153" s="368">
        <f>'As-Filed Schedule 3'!J153</f>
        <v>0</v>
      </c>
      <c r="K153" s="414">
        <f>'As-Filed Schedule 3'!K153</f>
        <v>0</v>
      </c>
      <c r="L153" s="416">
        <f>SUMIFS(Adjustments!$G:$G,Adjustments!$H:$H,"3",Adjustments!$I:$I,'Schedule 3 Adjustments'!$K$13,Adjustments!$J:$J,"28a")</f>
        <v>0</v>
      </c>
      <c r="M153" s="418">
        <f>SUM(K153:L153)</f>
        <v>0</v>
      </c>
      <c r="N153" s="89"/>
      <c r="O153" s="353"/>
      <c r="P153" s="87"/>
      <c r="Q153" s="349"/>
      <c r="R153" s="353"/>
      <c r="S153" s="87"/>
      <c r="T153" s="353"/>
      <c r="U153" s="87"/>
      <c r="V153" s="349"/>
      <c r="W153" s="353"/>
      <c r="X153" s="87"/>
      <c r="Y153" s="353"/>
      <c r="Z153" s="87"/>
      <c r="AA153" s="353"/>
      <c r="AB153" s="87"/>
      <c r="AC153" s="353"/>
    </row>
    <row r="154" spans="1:29" x14ac:dyDescent="0.35">
      <c r="A154" s="102" t="s">
        <v>448</v>
      </c>
      <c r="B154" s="88"/>
      <c r="C154" s="88"/>
      <c r="D154" s="88"/>
      <c r="E154" s="88"/>
      <c r="F154" s="133"/>
      <c r="G154" s="136"/>
      <c r="H154" s="136"/>
      <c r="I154" s="105"/>
      <c r="J154" s="368">
        <f>'As-Filed Schedule 3'!J154</f>
        <v>0</v>
      </c>
      <c r="K154" s="414">
        <f>'As-Filed Schedule 3'!K154</f>
        <v>0</v>
      </c>
      <c r="L154" s="416">
        <f>SUMIFS(Adjustments!$G:$G,Adjustments!$H:$H,"3",Adjustments!$I:$I,'Schedule 3 Adjustments'!$K$13,Adjustments!$J:$J,"28b")</f>
        <v>0</v>
      </c>
      <c r="M154" s="418">
        <f>SUM(K154:L154)</f>
        <v>0</v>
      </c>
      <c r="N154" s="90"/>
      <c r="O154" s="354"/>
      <c r="P154" s="88"/>
      <c r="Q154" s="350"/>
      <c r="R154" s="354"/>
      <c r="S154" s="88"/>
      <c r="T154" s="354"/>
      <c r="U154" s="88"/>
      <c r="V154" s="350"/>
      <c r="W154" s="354"/>
      <c r="X154" s="88"/>
      <c r="Y154" s="354"/>
      <c r="Z154" s="88"/>
      <c r="AA154" s="354"/>
      <c r="AB154" s="88"/>
      <c r="AC154" s="354"/>
    </row>
    <row r="155" spans="1:29" x14ac:dyDescent="0.35">
      <c r="A155" s="103" t="s">
        <v>449</v>
      </c>
      <c r="B155" s="88"/>
      <c r="C155" s="88"/>
      <c r="D155" s="88"/>
      <c r="E155" s="88"/>
      <c r="F155" s="133"/>
      <c r="G155" s="136"/>
      <c r="H155" s="136"/>
      <c r="I155" s="105"/>
      <c r="J155" s="368">
        <f>'As-Filed Schedule 3'!J155</f>
        <v>0</v>
      </c>
      <c r="K155" s="414">
        <f>'As-Filed Schedule 3'!K155</f>
        <v>0</v>
      </c>
      <c r="L155" s="416">
        <f>SUMIFS(Adjustments!$G:$G,Adjustments!$H:$H,"3",Adjustments!$I:$I,'Schedule 3 Adjustments'!$K$13,Adjustments!$J:$J,"28c")</f>
        <v>0</v>
      </c>
      <c r="M155" s="418">
        <f>SUM(K155:L155)</f>
        <v>0</v>
      </c>
      <c r="N155" s="90"/>
      <c r="O155" s="354"/>
      <c r="P155" s="88"/>
      <c r="Q155" s="350"/>
      <c r="R155" s="354"/>
      <c r="S155" s="88"/>
      <c r="T155" s="354"/>
      <c r="U155" s="88"/>
      <c r="V155" s="350"/>
      <c r="W155" s="354"/>
      <c r="X155" s="88"/>
      <c r="Y155" s="354"/>
      <c r="Z155" s="88"/>
      <c r="AA155" s="354"/>
      <c r="AB155" s="88"/>
      <c r="AC155" s="354"/>
    </row>
    <row r="156" spans="1:29" x14ac:dyDescent="0.35">
      <c r="J156" s="100"/>
      <c r="N156" s="28"/>
      <c r="O156" s="346"/>
    </row>
    <row r="157" spans="1:29" s="34" customFormat="1" x14ac:dyDescent="0.35">
      <c r="A157" s="84">
        <v>29</v>
      </c>
      <c r="B157" s="518">
        <f>'As-Filed Schedule 3'!B157:C157</f>
        <v>0</v>
      </c>
      <c r="C157" s="519"/>
      <c r="D157" s="364">
        <f>'As-Filed Schedule 3'!D157</f>
        <v>0</v>
      </c>
      <c r="E157" s="364">
        <f>'As-Filed Schedule 3'!E157</f>
        <v>0</v>
      </c>
      <c r="F157" s="363">
        <f>'As-Filed Schedule 3'!F157</f>
        <v>0</v>
      </c>
      <c r="G157" s="362">
        <f>'As-Filed Schedule 3'!G157</f>
        <v>0</v>
      </c>
      <c r="H157" s="362">
        <f>'As-Filed Schedule 3'!H157</f>
        <v>0</v>
      </c>
      <c r="I157" s="139" t="str">
        <f>IF(B157=0,"",IF(AND(G157=0,H157=0),365,IF(AND(G157&gt;0,H157=0),$C$6-G157+1,IF(AND(G157=0,H157&gt;0),H157-($C$6-365),H157-G157+1))))</f>
        <v/>
      </c>
      <c r="J157" s="98"/>
      <c r="K157" s="413">
        <f>SUM(K158:K160)</f>
        <v>0</v>
      </c>
      <c r="L157" s="415">
        <f>SUM(L158:L160)</f>
        <v>0</v>
      </c>
      <c r="M157" s="417">
        <f>SUM(M158:M160)</f>
        <v>0</v>
      </c>
      <c r="N157" s="91" t="str">
        <f>IF(K157&gt;0,K157/(F157*I157),"")</f>
        <v/>
      </c>
      <c r="O157" s="345" t="str">
        <f>IF(M157&gt;0,M157/(F157*I157),"")</f>
        <v/>
      </c>
      <c r="P157" s="126">
        <f>'As-Filed Schedule 3'!M157</f>
        <v>0</v>
      </c>
      <c r="Q157" s="348">
        <f>SUMIFS(Adjustments!$G:$G,Adjustments!$H:$H,"3",Adjustments!$I:$I,'Schedule 3 Adjustments'!$P$13,Adjustments!$J:$J,'As-Filed Schedule 3'!A157)</f>
        <v>0</v>
      </c>
      <c r="R157" s="352">
        <f>SUM(P157:Q157)</f>
        <v>0</v>
      </c>
      <c r="S157" s="85" t="str">
        <f>IFERROR(P157/K157,"")</f>
        <v/>
      </c>
      <c r="T157" s="356" t="str">
        <f>IFERROR(R157/M157,"")</f>
        <v/>
      </c>
      <c r="U157" s="126">
        <f>'As-Filed Schedule 3'!O157</f>
        <v>0</v>
      </c>
      <c r="V157" s="348">
        <f>SUMIFS(Adjustments!$G:$G,Adjustments!$H:$H,"3",Adjustments!$I:$I,'Schedule 3 Adjustments'!$U$13,Adjustments!$J:$J,$A157)</f>
        <v>0</v>
      </c>
      <c r="W157" s="352">
        <f>SUM(U157:V157)</f>
        <v>0</v>
      </c>
      <c r="X157" s="85" t="str">
        <f>IFERROR(U157/K157,"")</f>
        <v/>
      </c>
      <c r="Y157" s="85" t="str">
        <f>IFERROR(W157/M157,"")</f>
        <v/>
      </c>
      <c r="Z157" s="86" t="str">
        <f>IF(P157=0,"",P157-U157)</f>
        <v/>
      </c>
      <c r="AA157" s="358" t="str">
        <f>IF(R157=0,"",R157-W157)</f>
        <v/>
      </c>
      <c r="AB157" s="85" t="str">
        <f>IFERROR(Z157/K157,"")</f>
        <v/>
      </c>
      <c r="AC157" s="356" t="str">
        <f>IFERROR(AA157/M157,"")</f>
        <v/>
      </c>
    </row>
    <row r="158" spans="1:29" x14ac:dyDescent="0.35">
      <c r="A158" s="101" t="s">
        <v>447</v>
      </c>
      <c r="B158" s="87"/>
      <c r="C158" s="87"/>
      <c r="D158" s="87"/>
      <c r="E158" s="87"/>
      <c r="F158" s="132"/>
      <c r="G158" s="135"/>
      <c r="H158" s="135"/>
      <c r="I158" s="104"/>
      <c r="J158" s="368">
        <f>'As-Filed Schedule 3'!J158</f>
        <v>0</v>
      </c>
      <c r="K158" s="414">
        <f>'As-Filed Schedule 3'!K158</f>
        <v>0</v>
      </c>
      <c r="L158" s="416">
        <f>SUMIFS(Adjustments!$G:$G,Adjustments!$H:$H,"3",Adjustments!$I:$I,'Schedule 3 Adjustments'!$K$13,Adjustments!$J:$J,"29a")</f>
        <v>0</v>
      </c>
      <c r="M158" s="418">
        <f>SUM(K158:L158)</f>
        <v>0</v>
      </c>
      <c r="N158" s="89"/>
      <c r="O158" s="353"/>
      <c r="P158" s="87"/>
      <c r="Q158" s="349"/>
      <c r="R158" s="353"/>
      <c r="S158" s="87"/>
      <c r="T158" s="353"/>
      <c r="U158" s="87"/>
      <c r="V158" s="349"/>
      <c r="W158" s="353"/>
      <c r="X158" s="87"/>
      <c r="Y158" s="353"/>
      <c r="Z158" s="87"/>
      <c r="AA158" s="353"/>
      <c r="AB158" s="87"/>
      <c r="AC158" s="353"/>
    </row>
    <row r="159" spans="1:29" x14ac:dyDescent="0.35">
      <c r="A159" s="102" t="s">
        <v>448</v>
      </c>
      <c r="B159" s="88"/>
      <c r="C159" s="88"/>
      <c r="D159" s="88"/>
      <c r="E159" s="88"/>
      <c r="F159" s="133"/>
      <c r="G159" s="136"/>
      <c r="H159" s="136"/>
      <c r="I159" s="105"/>
      <c r="J159" s="368">
        <f>'As-Filed Schedule 3'!J159</f>
        <v>0</v>
      </c>
      <c r="K159" s="414">
        <f>'As-Filed Schedule 3'!K159</f>
        <v>0</v>
      </c>
      <c r="L159" s="416">
        <f>SUMIFS(Adjustments!$G:$G,Adjustments!$H:$H,"3",Adjustments!$I:$I,'Schedule 3 Adjustments'!$K$13,Adjustments!$J:$J,"29b")</f>
        <v>0</v>
      </c>
      <c r="M159" s="418">
        <f>SUM(K159:L159)</f>
        <v>0</v>
      </c>
      <c r="N159" s="90"/>
      <c r="O159" s="354"/>
      <c r="P159" s="88"/>
      <c r="Q159" s="350"/>
      <c r="R159" s="354"/>
      <c r="S159" s="88"/>
      <c r="T159" s="354"/>
      <c r="U159" s="88"/>
      <c r="V159" s="350"/>
      <c r="W159" s="354"/>
      <c r="X159" s="88"/>
      <c r="Y159" s="354"/>
      <c r="Z159" s="88"/>
      <c r="AA159" s="354"/>
      <c r="AB159" s="88"/>
      <c r="AC159" s="354"/>
    </row>
    <row r="160" spans="1:29" x14ac:dyDescent="0.35">
      <c r="A160" s="103" t="s">
        <v>449</v>
      </c>
      <c r="B160" s="88"/>
      <c r="C160" s="88"/>
      <c r="D160" s="88"/>
      <c r="E160" s="88"/>
      <c r="F160" s="133"/>
      <c r="G160" s="136"/>
      <c r="H160" s="136"/>
      <c r="I160" s="105"/>
      <c r="J160" s="368">
        <f>'As-Filed Schedule 3'!J160</f>
        <v>0</v>
      </c>
      <c r="K160" s="414">
        <f>'As-Filed Schedule 3'!K160</f>
        <v>0</v>
      </c>
      <c r="L160" s="416">
        <f>SUMIFS(Adjustments!$G:$G,Adjustments!$H:$H,"3",Adjustments!$I:$I,'Schedule 3 Adjustments'!$K$13,Adjustments!$J:$J,"29c")</f>
        <v>0</v>
      </c>
      <c r="M160" s="418">
        <f>SUM(K160:L160)</f>
        <v>0</v>
      </c>
      <c r="N160" s="90"/>
      <c r="O160" s="354"/>
      <c r="P160" s="88"/>
      <c r="Q160" s="350"/>
      <c r="R160" s="354"/>
      <c r="S160" s="88"/>
      <c r="T160" s="354"/>
      <c r="U160" s="88"/>
      <c r="V160" s="350"/>
      <c r="W160" s="354"/>
      <c r="X160" s="88"/>
      <c r="Y160" s="354"/>
      <c r="Z160" s="88"/>
      <c r="AA160" s="354"/>
      <c r="AB160" s="88"/>
      <c r="AC160" s="354"/>
    </row>
    <row r="161" spans="1:29" x14ac:dyDescent="0.35">
      <c r="J161" s="100"/>
      <c r="N161" s="28"/>
      <c r="O161" s="346"/>
    </row>
    <row r="162" spans="1:29" s="34" customFormat="1" x14ac:dyDescent="0.35">
      <c r="A162" s="84">
        <v>30</v>
      </c>
      <c r="B162" s="518">
        <f>'As-Filed Schedule 3'!B162:C162</f>
        <v>0</v>
      </c>
      <c r="C162" s="519"/>
      <c r="D162" s="364">
        <f>'As-Filed Schedule 3'!D162</f>
        <v>0</v>
      </c>
      <c r="E162" s="364">
        <f>'As-Filed Schedule 3'!E162</f>
        <v>0</v>
      </c>
      <c r="F162" s="363">
        <f>'As-Filed Schedule 3'!F162</f>
        <v>0</v>
      </c>
      <c r="G162" s="362">
        <f>'As-Filed Schedule 3'!G162</f>
        <v>0</v>
      </c>
      <c r="H162" s="362">
        <f>'As-Filed Schedule 3'!H162</f>
        <v>0</v>
      </c>
      <c r="I162" s="139" t="str">
        <f>IF(B162=0,"",IF(AND(G162=0,H162=0),365,IF(AND(G162&gt;0,H162=0),$C$6-G162+1,IF(AND(G162=0,H162&gt;0),H162-($C$6-365),H162-G162+1))))</f>
        <v/>
      </c>
      <c r="J162" s="98"/>
      <c r="K162" s="413">
        <f>SUM(K163:K165)</f>
        <v>0</v>
      </c>
      <c r="L162" s="415">
        <f>SUM(L163:L165)</f>
        <v>0</v>
      </c>
      <c r="M162" s="417">
        <f>SUM(M163:M165)</f>
        <v>0</v>
      </c>
      <c r="N162" s="91" t="str">
        <f>IF(K162&gt;0,K162/(F162*I162),"")</f>
        <v/>
      </c>
      <c r="O162" s="345" t="str">
        <f>IF(M162&gt;0,M162/(F162*I162),"")</f>
        <v/>
      </c>
      <c r="P162" s="126">
        <f>'As-Filed Schedule 3'!M162</f>
        <v>0</v>
      </c>
      <c r="Q162" s="348">
        <f>SUMIFS(Adjustments!$G:$G,Adjustments!$H:$H,"3",Adjustments!$I:$I,'Schedule 3 Adjustments'!$P$13,Adjustments!$J:$J,'As-Filed Schedule 3'!A162)</f>
        <v>0</v>
      </c>
      <c r="R162" s="352">
        <f>SUM(P162:Q162)</f>
        <v>0</v>
      </c>
      <c r="S162" s="85" t="str">
        <f>IFERROR(P162/K162,"")</f>
        <v/>
      </c>
      <c r="T162" s="356" t="str">
        <f>IFERROR(R162/M162,"")</f>
        <v/>
      </c>
      <c r="U162" s="126">
        <f>'As-Filed Schedule 3'!O162</f>
        <v>0</v>
      </c>
      <c r="V162" s="348">
        <f>SUMIFS(Adjustments!$G:$G,Adjustments!$H:$H,"3",Adjustments!$I:$I,'Schedule 3 Adjustments'!$U$13,Adjustments!$J:$J,$A162)</f>
        <v>0</v>
      </c>
      <c r="W162" s="352">
        <f>SUM(U162:V162)</f>
        <v>0</v>
      </c>
      <c r="X162" s="85" t="str">
        <f>IFERROR(U162/K162,"")</f>
        <v/>
      </c>
      <c r="Y162" s="85" t="str">
        <f>IFERROR(W162/M162,"")</f>
        <v/>
      </c>
      <c r="Z162" s="86" t="str">
        <f>IF(P162=0,"",P162-U162)</f>
        <v/>
      </c>
      <c r="AA162" s="358" t="str">
        <f>IF(R162=0,"",R162-W162)</f>
        <v/>
      </c>
      <c r="AB162" s="85" t="str">
        <f>IFERROR(Z162/K162,"")</f>
        <v/>
      </c>
      <c r="AC162" s="356" t="str">
        <f>IFERROR(AA162/M162,"")</f>
        <v/>
      </c>
    </row>
    <row r="163" spans="1:29" x14ac:dyDescent="0.35">
      <c r="A163" s="101" t="s">
        <v>447</v>
      </c>
      <c r="B163" s="87"/>
      <c r="C163" s="87"/>
      <c r="D163" s="87"/>
      <c r="E163" s="87"/>
      <c r="F163" s="132"/>
      <c r="G163" s="135"/>
      <c r="H163" s="135"/>
      <c r="I163" s="104"/>
      <c r="J163" s="368">
        <f>'As-Filed Schedule 3'!J163</f>
        <v>0</v>
      </c>
      <c r="K163" s="414">
        <f>'As-Filed Schedule 3'!K163</f>
        <v>0</v>
      </c>
      <c r="L163" s="416">
        <f>SUMIFS(Adjustments!$G:$G,Adjustments!$H:$H,"3",Adjustments!$I:$I,'Schedule 3 Adjustments'!$K$13,Adjustments!$J:$J,"30a")</f>
        <v>0</v>
      </c>
      <c r="M163" s="418">
        <f>SUM(K163:L163)</f>
        <v>0</v>
      </c>
      <c r="N163" s="89"/>
      <c r="O163" s="353"/>
      <c r="P163" s="87"/>
      <c r="Q163" s="349"/>
      <c r="R163" s="353"/>
      <c r="S163" s="87"/>
      <c r="T163" s="353"/>
      <c r="U163" s="87"/>
      <c r="V163" s="349"/>
      <c r="W163" s="353"/>
      <c r="X163" s="87"/>
      <c r="Y163" s="353"/>
      <c r="Z163" s="87"/>
      <c r="AA163" s="353"/>
      <c r="AB163" s="87"/>
      <c r="AC163" s="353"/>
    </row>
    <row r="164" spans="1:29" x14ac:dyDescent="0.35">
      <c r="A164" s="102" t="s">
        <v>448</v>
      </c>
      <c r="B164" s="88"/>
      <c r="C164" s="88"/>
      <c r="D164" s="88"/>
      <c r="E164" s="88"/>
      <c r="F164" s="133"/>
      <c r="G164" s="136"/>
      <c r="H164" s="136"/>
      <c r="I164" s="105"/>
      <c r="J164" s="368">
        <f>'As-Filed Schedule 3'!J164</f>
        <v>0</v>
      </c>
      <c r="K164" s="414">
        <f>'As-Filed Schedule 3'!K164</f>
        <v>0</v>
      </c>
      <c r="L164" s="416">
        <f>SUMIFS(Adjustments!$G:$G,Adjustments!$H:$H,"3",Adjustments!$I:$I,'Schedule 3 Adjustments'!$K$13,Adjustments!$J:$J,"30b")</f>
        <v>0</v>
      </c>
      <c r="M164" s="418">
        <f>SUM(K164:L164)</f>
        <v>0</v>
      </c>
      <c r="N164" s="90"/>
      <c r="O164" s="354"/>
      <c r="P164" s="88"/>
      <c r="Q164" s="350"/>
      <c r="R164" s="354"/>
      <c r="S164" s="88"/>
      <c r="T164" s="354"/>
      <c r="U164" s="88"/>
      <c r="V164" s="350"/>
      <c r="W164" s="354"/>
      <c r="X164" s="88"/>
      <c r="Y164" s="354"/>
      <c r="Z164" s="88"/>
      <c r="AA164" s="354"/>
      <c r="AB164" s="88"/>
      <c r="AC164" s="354"/>
    </row>
    <row r="165" spans="1:29" x14ac:dyDescent="0.35">
      <c r="A165" s="103" t="s">
        <v>449</v>
      </c>
      <c r="B165" s="88"/>
      <c r="C165" s="88"/>
      <c r="D165" s="88"/>
      <c r="E165" s="88"/>
      <c r="F165" s="133"/>
      <c r="G165" s="136"/>
      <c r="H165" s="136"/>
      <c r="I165" s="105"/>
      <c r="J165" s="368">
        <f>'As-Filed Schedule 3'!J165</f>
        <v>0</v>
      </c>
      <c r="K165" s="414">
        <f>'As-Filed Schedule 3'!K165</f>
        <v>0</v>
      </c>
      <c r="L165" s="416">
        <f>SUMIFS(Adjustments!$G:$G,Adjustments!$H:$H,"3",Adjustments!$I:$I,'Schedule 3 Adjustments'!$K$13,Adjustments!$J:$J,"30c")</f>
        <v>0</v>
      </c>
      <c r="M165" s="418">
        <f>SUM(K165:L165)</f>
        <v>0</v>
      </c>
      <c r="N165" s="90"/>
      <c r="O165" s="354"/>
      <c r="P165" s="88"/>
      <c r="Q165" s="350"/>
      <c r="R165" s="354"/>
      <c r="S165" s="88"/>
      <c r="T165" s="354"/>
      <c r="U165" s="88"/>
      <c r="V165" s="350"/>
      <c r="W165" s="354"/>
      <c r="X165" s="88"/>
      <c r="Y165" s="354"/>
      <c r="Z165" s="88"/>
      <c r="AA165" s="354"/>
      <c r="AB165" s="88"/>
      <c r="AC165" s="354"/>
    </row>
    <row r="166" spans="1:29" x14ac:dyDescent="0.35">
      <c r="J166" s="100"/>
      <c r="N166" s="28"/>
      <c r="O166" s="346"/>
    </row>
    <row r="167" spans="1:29" x14ac:dyDescent="0.35">
      <c r="A167" s="19">
        <v>31</v>
      </c>
      <c r="B167" s="517" t="s">
        <v>173</v>
      </c>
      <c r="C167" s="517"/>
      <c r="D167" s="517"/>
      <c r="E167" s="517"/>
      <c r="F167" s="27">
        <f>F162+F157+F152+F147+F142+F137+F132+F127+F122+F117+F112+F107+F102+F97+F92+F87+F82+F77+F72+F67+F62+F57+F52+F47+F42+F37+F32+F27+F22+F17</f>
        <v>16</v>
      </c>
      <c r="G167" s="32"/>
      <c r="H167" s="32"/>
      <c r="I167" s="32"/>
      <c r="J167" s="32"/>
      <c r="K167" s="27">
        <f>K162+K157+K152+K147+K142+K137+K132+K127+K122+K117+K112+K107+K102+K97+K92+K87+K82+K77+K72+K67+K62+K57+K52+K47+K42+K37+K32+K27+K22+K17</f>
        <v>3151</v>
      </c>
      <c r="L167" s="344">
        <f>L162+L157+L152+L147+L142+L137+L132+L127+L122+L117+L112+L107+L102+L97+L92+L87+L82+L77+L72+L67+L62+L57+L52+L47+L42+L37+L32+L27+L22+L17</f>
        <v>0</v>
      </c>
      <c r="M167" s="338">
        <f>M162+M157+M152+M147+M142+M137+M132+M127+M122+M117+M112+M107+M102+M97+M92+M87+M82+M77+M72+M67+M62+M57+M52+M47+M42+M37+M32+M27+M22+M17</f>
        <v>3151</v>
      </c>
      <c r="N167" s="29">
        <f>IF(K167&gt;0,K167/(F167*365),"")</f>
        <v>0.539554794520548</v>
      </c>
      <c r="O167" s="347">
        <f>IF(M167&gt;0,M167/(F167*365),"")</f>
        <v>0.539554794520548</v>
      </c>
      <c r="P167" s="27">
        <f>P162+P157+P152+P147+P142+P137+P132+P127+P122+P117+P112+P107+P102+P97+P92+P87+P82+P77+P72+P67+P62+P57+P52+P47+P42+P37+P32+P27+P22+P17</f>
        <v>5773346.1970490608</v>
      </c>
      <c r="Q167" s="344">
        <f>Q162+Q157+Q152+Q147+Q142+Q137+Q132+Q127+Q122+Q117+Q112+Q107+Q102+Q97+Q92+Q87+Q82+Q77+Q72+Q67+Q62+Q57+Q52+Q47+Q42+Q37+Q32+Q27+Q22+Q17</f>
        <v>0</v>
      </c>
      <c r="R167" s="338">
        <f>R162+R157+R152+R147+R142+R137+R132+R127+R122+R117+R112+R107+R102+R97+R92+R87+R82+R77+R72+R67+R62+R57+R52+R47+R42+R37+R32+R27+R22+R17</f>
        <v>5773346.1970490608</v>
      </c>
      <c r="S167" s="17">
        <f>IFERROR(P167/K167,"")</f>
        <v>1832.2266572672361</v>
      </c>
      <c r="T167" s="357">
        <f>IFERROR(R167/M167,"")</f>
        <v>1832.2266572672361</v>
      </c>
      <c r="U167" s="27">
        <f>U162+U157+U152+U147+U142+U137+U132+U127+U122+U117+U112+U107+U102+U97+U92+U87+U82+U77+U72+U67+U62+U57+U52+U47+U42+U37+U32+U27+U22+U17</f>
        <v>804426.67583998712</v>
      </c>
      <c r="V167" s="344">
        <f>V162+V157+V152+V147+V142+V137+V132+V127+V122+V117+V112+V107+V102+V97+V92+V87+V82+V77+V72+V67+V62+V57+V52+V47+V42+V37+V32+V27+V22+V17</f>
        <v>0</v>
      </c>
      <c r="W167" s="338">
        <f>W162+W157+W152+W147+W142+W137+W132+W127+W122+W117+W112+W107+W102+W97+W92+W87+W82+W77+W72+W67+W62+W57+W52+W47+W42+W37+W32+W27+W22+W17</f>
        <v>804426.67583998712</v>
      </c>
      <c r="X167" s="17">
        <f t="shared" ref="X167" si="0">IFERROR(U167/K167,"")</f>
        <v>255.29250264677472</v>
      </c>
      <c r="Y167" s="357">
        <f>IFERROR(W167/M167,"")</f>
        <v>255.29250264677472</v>
      </c>
      <c r="Z167" s="30">
        <f t="shared" ref="Z167" si="1">IF(P167=0,"",P167-U167)</f>
        <v>4968919.5212090742</v>
      </c>
      <c r="AA167" s="359">
        <f>IF(R167=0,"",R167-W167)</f>
        <v>4968919.5212090742</v>
      </c>
      <c r="AB167" s="17">
        <f>IFERROR(Z167/K167,"")</f>
        <v>1576.9341546204614</v>
      </c>
      <c r="AC167" s="357">
        <f>IFERROR(AA167/M167,"")</f>
        <v>1576.9341546204614</v>
      </c>
    </row>
    <row r="169" spans="1:29" x14ac:dyDescent="0.35">
      <c r="A169" s="19">
        <v>32</v>
      </c>
      <c r="O169" s="37" t="s">
        <v>199</v>
      </c>
      <c r="P169" s="39">
        <f>'As-Filed Schedule 1'!G91</f>
        <v>3981756.2478900878</v>
      </c>
      <c r="Q169"/>
      <c r="R169" s="310">
        <f>'Schedule 1 Adjustments'!O92</f>
        <v>3981756.2478900878</v>
      </c>
    </row>
    <row r="170" spans="1:29" x14ac:dyDescent="0.35">
      <c r="A170" s="19">
        <v>33</v>
      </c>
      <c r="O170" s="37" t="s">
        <v>186</v>
      </c>
      <c r="P170" s="39">
        <f>'As-Filed Schedule 1'!G93</f>
        <v>1791589.9491589726</v>
      </c>
      <c r="Q170"/>
      <c r="R170" s="310">
        <f>'Schedule 1 Adjustments'!O94</f>
        <v>1791589.9491589726</v>
      </c>
    </row>
    <row r="171" spans="1:29" x14ac:dyDescent="0.35">
      <c r="A171" s="19">
        <v>34</v>
      </c>
      <c r="O171" s="37" t="s">
        <v>200</v>
      </c>
      <c r="P171" s="18">
        <f>SUM(P169:P170)</f>
        <v>5773346.1970490608</v>
      </c>
      <c r="Q171"/>
      <c r="R171" s="311">
        <f>SUM(R169:R170)</f>
        <v>5773346.1970490608</v>
      </c>
    </row>
    <row r="172" spans="1:29" x14ac:dyDescent="0.35">
      <c r="A172" s="19">
        <v>35</v>
      </c>
      <c r="O172" s="37" t="s">
        <v>10</v>
      </c>
      <c r="P172" s="18">
        <f>P167-P171</f>
        <v>0</v>
      </c>
      <c r="Q172"/>
      <c r="R172" s="311">
        <f>R167-R171</f>
        <v>0</v>
      </c>
    </row>
    <row r="173" spans="1:29" x14ac:dyDescent="0.35">
      <c r="P173" s="38" t="str">
        <f>IF(P172&lt;&gt;0,"ERROR","")</f>
        <v/>
      </c>
      <c r="Q173" s="351" t="str">
        <f>IF(Q172&lt;&gt;0,"ERROR","")</f>
        <v/>
      </c>
      <c r="R173" s="38" t="str">
        <f>IF(R172&lt;&gt;0,"ERROR","")</f>
        <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8">
        <f>SUMIF($J$17:$J$167,"H0010 3.2 WM",$M$17:$M$167)</f>
        <v>0</v>
      </c>
      <c r="M175" s="27">
        <f>'As-Filed Schedule 4'!D122+'As-Filed Schedule 4'!H122</f>
        <v>0</v>
      </c>
      <c r="N175" s="338">
        <f>'Adjusted Schedule 4'!D123+'Adjusted Schedule 4'!H123</f>
        <v>0</v>
      </c>
      <c r="O175" s="27">
        <f t="shared" ref="O175:P179" si="2">M175-K175</f>
        <v>0</v>
      </c>
      <c r="P175" s="338">
        <f t="shared" si="2"/>
        <v>0</v>
      </c>
      <c r="Q175"/>
      <c r="S175" s="92" t="str">
        <f>IF(O175&lt;&gt;0,"ERROR","")</f>
        <v/>
      </c>
      <c r="T175" s="92" t="str">
        <f>IF(Q175&lt;&gt;0,"ERROR","")</f>
        <v/>
      </c>
    </row>
    <row r="176" spans="1:29" x14ac:dyDescent="0.35">
      <c r="A176" s="19">
        <v>37</v>
      </c>
      <c r="J176" s="94" t="s">
        <v>443</v>
      </c>
      <c r="K176" s="27">
        <f>SUMIF($J$17:$J$167,"H0011 3.7 WM",$K$17:$K$167)</f>
        <v>0</v>
      </c>
      <c r="L176" s="338">
        <f>SUMIF($J$17:$J$167,"H0011 3.7 WM",$M$17:$M$167)</f>
        <v>0</v>
      </c>
      <c r="M176" s="27">
        <f>'As-Filed Schedule 4'!D123+'As-Filed Schedule 4'!H123</f>
        <v>0</v>
      </c>
      <c r="N176" s="338">
        <f>'Adjusted Schedule 4'!D124+'Adjusted Schedule 4'!H124</f>
        <v>0</v>
      </c>
      <c r="O176" s="27">
        <f t="shared" si="2"/>
        <v>0</v>
      </c>
      <c r="P176" s="338">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3151</v>
      </c>
      <c r="L177" s="338">
        <f>SUMIF($J$17:$J$167,#REF!,$M$17:$M$167)</f>
        <v>0</v>
      </c>
      <c r="M177" s="27">
        <f>'As-Filed Schedule 4'!D125+'As-Filed Schedule 4'!H125</f>
        <v>3151</v>
      </c>
      <c r="N177" s="338">
        <f>'Adjusted Schedule 4'!D126+'Adjusted Schedule 4'!H126</f>
        <v>3151</v>
      </c>
      <c r="O177" s="27">
        <f t="shared" si="2"/>
        <v>0</v>
      </c>
      <c r="P177" s="338">
        <f t="shared" si="2"/>
        <v>3151</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0</v>
      </c>
      <c r="L178" s="338">
        <f>SUMIF($J$17:$J$167,#REF!,$M$17:$M$167)</f>
        <v>0</v>
      </c>
      <c r="M178" s="27">
        <f>'As-Filed Schedule 4'!D126+'As-Filed Schedule 4'!H126</f>
        <v>0</v>
      </c>
      <c r="N178" s="338">
        <f>'Adjusted Schedule 4'!D127+'Adjusted Schedule 4'!H127</f>
        <v>0</v>
      </c>
      <c r="O178" s="27">
        <f t="shared" si="2"/>
        <v>0</v>
      </c>
      <c r="P178" s="338">
        <f t="shared" si="2"/>
        <v>0</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0</v>
      </c>
      <c r="L179" s="338">
        <f>SUMIF($J$17:$J$167,#REF!,$M$17:$M$167)</f>
        <v>0</v>
      </c>
      <c r="M179" s="27">
        <f>'As-Filed Schedule 4'!D127+'As-Filed Schedule 4'!H127</f>
        <v>0</v>
      </c>
      <c r="N179" s="338">
        <f>'Adjusted Schedule 4'!D128+'Adjusted Schedule 4'!H128</f>
        <v>0</v>
      </c>
      <c r="O179" s="27">
        <f t="shared" si="2"/>
        <v>0</v>
      </c>
      <c r="P179" s="338">
        <f t="shared" si="2"/>
        <v>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39">
        <f>SUMIF($J$17:$J$167,#REF!,$M$17:$M$167)</f>
        <v>0</v>
      </c>
      <c r="M180" s="89"/>
      <c r="N180" s="353"/>
      <c r="O180" s="87"/>
      <c r="P180" s="353"/>
      <c r="Q180"/>
    </row>
    <row r="181" spans="1:20" x14ac:dyDescent="0.35">
      <c r="A181" s="19">
        <v>42</v>
      </c>
      <c r="C181" s="234" t="s">
        <v>470</v>
      </c>
      <c r="D181" s="235"/>
      <c r="E181" s="235" t="s">
        <v>471</v>
      </c>
      <c r="F181" s="100"/>
      <c r="G181" s="146"/>
      <c r="J181" s="95" t="s">
        <v>444</v>
      </c>
      <c r="K181" s="108">
        <f t="shared" si="4"/>
        <v>0</v>
      </c>
      <c r="L181" s="340">
        <f>SUMIF($J$17:$J$167,#REF!,$M$17:$M$167)</f>
        <v>0</v>
      </c>
      <c r="M181" s="90"/>
      <c r="N181" s="354"/>
      <c r="O181" s="88"/>
      <c r="P181" s="354"/>
      <c r="Q181"/>
    </row>
    <row r="182" spans="1:20" x14ac:dyDescent="0.35">
      <c r="A182" s="19">
        <v>43</v>
      </c>
      <c r="C182" s="236" t="s">
        <v>478</v>
      </c>
      <c r="D182" s="237"/>
      <c r="E182" s="237" t="s">
        <v>475</v>
      </c>
      <c r="F182" s="238"/>
      <c r="G182" s="147"/>
      <c r="J182" s="95" t="s">
        <v>439</v>
      </c>
      <c r="K182" s="108">
        <f t="shared" si="4"/>
        <v>0</v>
      </c>
      <c r="L182" s="340">
        <f>SUMIF($J$17:$J$167,#REF!,$M$17:$M$167)</f>
        <v>0</v>
      </c>
      <c r="M182" s="109"/>
      <c r="N182" s="355"/>
      <c r="O182" s="110"/>
      <c r="P182" s="355"/>
      <c r="Q182"/>
    </row>
    <row r="183" spans="1:20" x14ac:dyDescent="0.35">
      <c r="A183" s="19">
        <v>44</v>
      </c>
      <c r="C183" s="100"/>
      <c r="D183" s="100"/>
      <c r="E183" s="100"/>
      <c r="F183" s="100"/>
      <c r="J183" s="96" t="s">
        <v>438</v>
      </c>
      <c r="K183" s="107">
        <f t="shared" si="4"/>
        <v>0</v>
      </c>
      <c r="L183" s="341">
        <f>SUMIF($J$17:$J$167,#REF!,$M$17:$M$167)</f>
        <v>0</v>
      </c>
      <c r="M183" s="27">
        <f>'As-Filed Schedule 4'!D180+'As-Filed Schedule 4'!H180</f>
        <v>0</v>
      </c>
      <c r="N183" s="338">
        <f>'Adjusted Schedule 4'!E181+'Adjusted Schedule 4'!I181</f>
        <v>0</v>
      </c>
      <c r="O183" s="27">
        <f>M183-SUM(K180:K183)</f>
        <v>0</v>
      </c>
      <c r="P183" s="338">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38">
        <f>SUMIF($J$17:$J$167,#REF!,$M$17:$M$167)</f>
        <v>0</v>
      </c>
      <c r="M184" s="90"/>
      <c r="N184" s="353"/>
      <c r="O184" s="88"/>
      <c r="P184" s="354"/>
      <c r="Q184" s="350"/>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topLeftCell="H1" workbookViewId="0">
      <selection activeCell="Q13" sqref="Q13"/>
    </sheetView>
  </sheetViews>
  <sheetFormatPr defaultColWidth="9.08984375" defaultRowHeight="14.5" x14ac:dyDescent="0.35"/>
  <cols>
    <col min="2" max="2" width="15.54296875" customWidth="1"/>
    <col min="3" max="3" width="77" style="4" customWidth="1"/>
    <col min="4" max="4" width="18.54296875" style="4" customWidth="1"/>
    <col min="5" max="5" width="18.54296875" style="386"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8"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4"/>
      <c r="F2" s="54"/>
      <c r="G2" s="49"/>
      <c r="H2" s="49"/>
      <c r="J2" s="50"/>
      <c r="L2" s="50"/>
    </row>
    <row r="3" spans="1:20" ht="24.9" customHeight="1" x14ac:dyDescent="0.5">
      <c r="A3" s="5" t="s">
        <v>931</v>
      </c>
      <c r="B3" s="5"/>
      <c r="C3" s="7"/>
      <c r="D3" s="54"/>
      <c r="E3" s="384"/>
      <c r="F3" s="54"/>
      <c r="G3" s="51"/>
      <c r="H3" s="51"/>
      <c r="I3" s="51"/>
      <c r="J3" s="52"/>
      <c r="K3" s="52"/>
      <c r="L3" s="52"/>
      <c r="M3" s="389"/>
      <c r="N3" s="52"/>
      <c r="O3" s="14"/>
      <c r="P3" s="14"/>
      <c r="Q3" s="52"/>
    </row>
    <row r="4" spans="1:20" x14ac:dyDescent="0.35">
      <c r="D4" s="54"/>
      <c r="E4" s="384"/>
      <c r="F4" s="54"/>
      <c r="G4" s="49"/>
      <c r="H4" s="49"/>
      <c r="J4" s="50"/>
      <c r="L4" s="50"/>
      <c r="R4" s="529"/>
      <c r="S4" s="569"/>
      <c r="T4" s="529"/>
    </row>
    <row r="5" spans="1:20" ht="15" customHeight="1" x14ac:dyDescent="0.35">
      <c r="A5" s="1" t="s">
        <v>773</v>
      </c>
      <c r="C5" s="420" t="str">
        <f>Results!$C$6</f>
        <v>Diversus Health</v>
      </c>
      <c r="D5" s="55"/>
      <c r="E5" s="385"/>
      <c r="F5" s="55"/>
      <c r="G5" s="53"/>
      <c r="H5" s="53"/>
      <c r="I5" s="53"/>
      <c r="J5" s="50"/>
      <c r="L5" s="50"/>
      <c r="R5" s="529"/>
      <c r="S5" s="569"/>
      <c r="T5" s="529"/>
    </row>
    <row r="6" spans="1:20" x14ac:dyDescent="0.35">
      <c r="A6" s="1" t="s">
        <v>0</v>
      </c>
      <c r="C6" s="35">
        <f>Results!$C$7</f>
        <v>45473</v>
      </c>
      <c r="D6" s="35"/>
      <c r="E6" s="319"/>
      <c r="F6" s="60"/>
      <c r="G6" s="35"/>
      <c r="H6" s="35"/>
      <c r="I6" s="60"/>
      <c r="R6" s="529"/>
      <c r="S6" s="569"/>
      <c r="T6" s="529"/>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36037838.667005494</v>
      </c>
      <c r="E8" s="406" t="s">
        <v>761</v>
      </c>
      <c r="F8" s="383">
        <f>'Schedule 1 Adjustments'!L96</f>
        <v>36037838.667005494</v>
      </c>
      <c r="G8" s="46" t="s">
        <v>197</v>
      </c>
      <c r="H8" s="31">
        <f>H197</f>
        <v>36135.040000000001</v>
      </c>
      <c r="I8" s="381">
        <f>I197</f>
        <v>36135.040000000001</v>
      </c>
      <c r="L8" s="426" t="s">
        <v>857</v>
      </c>
      <c r="M8" s="26">
        <f>'As-Filed Schedule 1'!F95</f>
        <v>36037838.667005494</v>
      </c>
      <c r="N8" s="406" t="s">
        <v>761</v>
      </c>
      <c r="O8" s="383">
        <f>'Schedule 1 Adjustments'!L96</f>
        <v>36037838.667005494</v>
      </c>
      <c r="P8" s="426" t="s">
        <v>858</v>
      </c>
      <c r="Q8" s="180">
        <f>'As-Filed Schedule 4'!K8</f>
        <v>0</v>
      </c>
      <c r="R8" s="387">
        <f>SUMIFS(Adjustments!$G:$G,Adjustments!$H:$H,"4",Adjustments!$I:$I,'Schedule 4 Adjustments'!$Q$7,Adjustments!$J:$J,'Schedule 4 Adjustments'!$A8)</f>
        <v>138232</v>
      </c>
      <c r="S8" s="309">
        <f>SUM(Q8:R8)</f>
        <v>138232</v>
      </c>
      <c r="T8" s="25"/>
    </row>
    <row r="9" spans="1:20" x14ac:dyDescent="0.35">
      <c r="A9" s="19">
        <v>2</v>
      </c>
      <c r="C9" s="46" t="s">
        <v>251</v>
      </c>
      <c r="D9" s="117">
        <f>'As-Filed Schedule 4'!D9</f>
        <v>0</v>
      </c>
      <c r="E9" s="387">
        <f>SUMIFS(Adjustments!$G:$G,Adjustments!$H:$H,"4",Adjustments!$I:$I,'Schedule 4 Adjustments'!$D$7,Adjustments!$J:$J,'Schedule 4 Adjustments'!$A9)</f>
        <v>0</v>
      </c>
      <c r="F9" s="309">
        <f>SUM(D9:E9)</f>
        <v>0</v>
      </c>
      <c r="G9" s="46" t="s">
        <v>198</v>
      </c>
      <c r="H9" s="31">
        <f>P197</f>
        <v>350327.89999999997</v>
      </c>
      <c r="I9" s="381">
        <f>Q197</f>
        <v>350327.89999999997</v>
      </c>
      <c r="L9" s="426" t="s">
        <v>859</v>
      </c>
      <c r="M9" s="180">
        <f>'As-Filed Schedule 4'!I9</f>
        <v>0</v>
      </c>
      <c r="N9" s="387">
        <f>SUMIFS(Adjustments!$G:$G,Adjustments!$H:$H,"4",Adjustments!$I:$I,'Schedule 4 Adjustments'!$M$7,Adjustments!$J:$J,'Schedule 4 Adjustments'!$A9)</f>
        <v>0</v>
      </c>
      <c r="O9" s="309">
        <f>SUM(M9:N9)</f>
        <v>0</v>
      </c>
      <c r="P9" s="431"/>
      <c r="Q9" s="431"/>
      <c r="T9" s="45"/>
    </row>
    <row r="10" spans="1:20" x14ac:dyDescent="0.35">
      <c r="A10" s="19">
        <v>3</v>
      </c>
      <c r="C10" s="42" t="s">
        <v>194</v>
      </c>
      <c r="D10" s="18">
        <f>D8-D9</f>
        <v>36037838.667005494</v>
      </c>
      <c r="E10" s="407" t="s">
        <v>761</v>
      </c>
      <c r="F10" s="311">
        <f>F8-F9</f>
        <v>36037838.667005494</v>
      </c>
      <c r="G10" s="42" t="s">
        <v>195</v>
      </c>
      <c r="H10" s="9">
        <f>SUM(H8:H9)</f>
        <v>386462.93999999994</v>
      </c>
      <c r="I10" s="378">
        <f>SUM(I8:I9)</f>
        <v>386462.93999999994</v>
      </c>
      <c r="L10" s="427" t="s">
        <v>860</v>
      </c>
      <c r="M10" s="185">
        <f>M8-M9</f>
        <v>36037838.667005494</v>
      </c>
      <c r="N10" s="407" t="s">
        <v>761</v>
      </c>
      <c r="O10" s="311">
        <f>O8-O9</f>
        <v>36037838.667005494</v>
      </c>
      <c r="P10" s="431"/>
      <c r="Q10" s="431"/>
      <c r="T10" s="45"/>
    </row>
    <row r="11" spans="1:20" x14ac:dyDescent="0.35">
      <c r="A11" s="1"/>
      <c r="L11" s="206"/>
      <c r="M11" s="206"/>
      <c r="N11" s="430"/>
      <c r="O11" s="430"/>
      <c r="P11" s="431"/>
      <c r="Q11" s="432"/>
      <c r="T11" s="45"/>
    </row>
    <row r="12" spans="1:20" ht="18.5" x14ac:dyDescent="0.45">
      <c r="A12" s="19">
        <v>4</v>
      </c>
      <c r="G12" s="44" t="s">
        <v>196</v>
      </c>
      <c r="H12" s="43">
        <f>D10/H10</f>
        <v>93.250438624219697</v>
      </c>
      <c r="I12" s="382">
        <f>F10/I10</f>
        <v>93.250438624219697</v>
      </c>
      <c r="L12" s="206"/>
      <c r="M12" s="206"/>
      <c r="N12" s="428"/>
      <c r="O12" s="447"/>
      <c r="P12" s="428" t="s">
        <v>861</v>
      </c>
      <c r="Q12" s="429" t="e">
        <f>M10/Q8</f>
        <v>#DIV/0!</v>
      </c>
      <c r="S12" s="429">
        <f>O10/S8</f>
        <v>260.70547099807203</v>
      </c>
      <c r="T12" s="45"/>
    </row>
    <row r="13" spans="1:20" x14ac:dyDescent="0.35">
      <c r="A13" s="1"/>
      <c r="C13" s="35"/>
      <c r="D13" s="35"/>
      <c r="E13" s="319"/>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30" t="s">
        <v>191</v>
      </c>
      <c r="E15" s="531"/>
      <c r="F15" s="531"/>
      <c r="G15" s="531"/>
      <c r="H15" s="531"/>
      <c r="I15" s="531"/>
      <c r="J15" s="532"/>
      <c r="K15" s="380"/>
      <c r="L15" s="530" t="s">
        <v>192</v>
      </c>
      <c r="M15" s="531"/>
      <c r="N15" s="531"/>
      <c r="O15" s="531"/>
      <c r="P15" s="531"/>
      <c r="Q15" s="531"/>
      <c r="R15" s="532"/>
      <c r="S15" s="373"/>
    </row>
    <row r="16" spans="1:20" ht="43.5" x14ac:dyDescent="0.35">
      <c r="B16" s="208" t="s">
        <v>40</v>
      </c>
      <c r="C16" s="208" t="s">
        <v>11</v>
      </c>
      <c r="D16" s="208" t="s">
        <v>187</v>
      </c>
      <c r="E16" s="361" t="s">
        <v>661</v>
      </c>
      <c r="F16" s="408" t="s">
        <v>662</v>
      </c>
      <c r="G16" s="239" t="s">
        <v>483</v>
      </c>
      <c r="H16" s="239" t="s">
        <v>189</v>
      </c>
      <c r="I16" s="376" t="s">
        <v>663</v>
      </c>
      <c r="J16" s="240" t="s">
        <v>156</v>
      </c>
      <c r="K16" s="374" t="s">
        <v>664</v>
      </c>
      <c r="L16" s="240" t="s">
        <v>188</v>
      </c>
      <c r="M16" s="390" t="s">
        <v>665</v>
      </c>
      <c r="N16" s="374" t="s">
        <v>666</v>
      </c>
      <c r="O16" s="239" t="s">
        <v>484</v>
      </c>
      <c r="P16" s="16" t="s">
        <v>190</v>
      </c>
      <c r="Q16" s="376" t="s">
        <v>667</v>
      </c>
      <c r="R16" s="15" t="s">
        <v>157</v>
      </c>
      <c r="S16" s="374" t="s">
        <v>668</v>
      </c>
    </row>
    <row r="17" spans="1:19" s="22" customFormat="1" x14ac:dyDescent="0.35">
      <c r="A17" s="19">
        <v>5</v>
      </c>
      <c r="B17" s="423" t="s">
        <v>787</v>
      </c>
      <c r="C17" s="20" t="s">
        <v>788</v>
      </c>
      <c r="D17" s="116">
        <f>'As-Filed Schedule 4'!D17</f>
        <v>0</v>
      </c>
      <c r="E17" s="387">
        <f>SUMIFS(Adjustments!$G:$G,Adjustments!$H:$H,"4",Adjustments!$I:$I,'Schedule 4 Adjustments'!$D$14,Adjustments!$J:$J,'Schedule 4 Adjustments'!$A17)</f>
        <v>0</v>
      </c>
      <c r="F17" s="379">
        <f>SUM(D17:E17)</f>
        <v>0</v>
      </c>
      <c r="G17" s="409">
        <v>0</v>
      </c>
      <c r="H17" s="148">
        <f>D17*G17</f>
        <v>0</v>
      </c>
      <c r="I17" s="377">
        <f>F17*G17</f>
        <v>0</v>
      </c>
      <c r="J17" s="149">
        <f>G17*$H$12</f>
        <v>0</v>
      </c>
      <c r="K17" s="375">
        <f>G17*$I$12</f>
        <v>0</v>
      </c>
      <c r="L17" s="150">
        <f>'As-Filed Schedule 4'!H17</f>
        <v>0</v>
      </c>
      <c r="M17" s="387">
        <f>SUMIFS(Adjustments!$G:$G,Adjustments!$H:$H,"4",Adjustments!$I:$I,'Schedule 4 Adjustments'!$L$14,Adjustments!$J:$J,'Schedule 4 Adjustments'!$A17)</f>
        <v>0</v>
      </c>
      <c r="N17" s="379">
        <f>SUM(L17:M17)</f>
        <v>0</v>
      </c>
      <c r="O17" s="409">
        <v>0</v>
      </c>
      <c r="P17" s="47">
        <f>L17*O17</f>
        <v>0</v>
      </c>
      <c r="Q17" s="377">
        <f>N17*O17</f>
        <v>0</v>
      </c>
      <c r="R17" s="21">
        <f>O17*$H$12</f>
        <v>0</v>
      </c>
      <c r="S17" s="375">
        <f>O17*$I$12</f>
        <v>0</v>
      </c>
    </row>
    <row r="18" spans="1:19" s="22" customFormat="1" x14ac:dyDescent="0.35">
      <c r="A18" s="19">
        <v>6</v>
      </c>
      <c r="B18" s="19">
        <v>80305</v>
      </c>
      <c r="C18" s="20" t="s">
        <v>111</v>
      </c>
      <c r="D18" s="116">
        <f>'As-Filed Schedule 4'!D18</f>
        <v>0</v>
      </c>
      <c r="E18" s="387">
        <f>SUMIFS(Adjustments!$G:$G,Adjustments!$H:$H,"4",Adjustments!$I:$I,'Schedule 4 Adjustments'!$D$14,Adjustments!$J:$J,'Schedule 4 Adjustments'!$A18)</f>
        <v>0</v>
      </c>
      <c r="F18" s="379">
        <f>SUM(D18:E18)</f>
        <v>0</v>
      </c>
      <c r="G18" s="409">
        <v>0</v>
      </c>
      <c r="H18" s="148">
        <f>D18*G18</f>
        <v>0</v>
      </c>
      <c r="I18" s="377">
        <f>F18*G18</f>
        <v>0</v>
      </c>
      <c r="J18" s="149">
        <f>G18*$H$12</f>
        <v>0</v>
      </c>
      <c r="K18" s="375">
        <f>G18*$I$12</f>
        <v>0</v>
      </c>
      <c r="L18" s="150">
        <f>'As-Filed Schedule 4'!H18</f>
        <v>0</v>
      </c>
      <c r="M18" s="387">
        <f>SUMIFS(Adjustments!$G:$G,Adjustments!$H:$H,"4",Adjustments!$I:$I,'Schedule 4 Adjustments'!$L$14,Adjustments!$J:$J,'Schedule 4 Adjustments'!$A18)</f>
        <v>0</v>
      </c>
      <c r="N18" s="379">
        <f>SUM(L18:M18)</f>
        <v>0</v>
      </c>
      <c r="O18" s="409">
        <v>0</v>
      </c>
      <c r="P18" s="47">
        <f>L18*O18</f>
        <v>0</v>
      </c>
      <c r="Q18" s="377">
        <f>N18*O18</f>
        <v>0</v>
      </c>
      <c r="R18" s="21">
        <f>O18*$H$12</f>
        <v>0</v>
      </c>
      <c r="S18" s="375">
        <f>O18*$I$12</f>
        <v>0</v>
      </c>
    </row>
    <row r="19" spans="1:19" s="22" customFormat="1" x14ac:dyDescent="0.35">
      <c r="A19" s="19">
        <v>7</v>
      </c>
      <c r="B19" s="19">
        <v>80306</v>
      </c>
      <c r="C19" s="20" t="s">
        <v>41</v>
      </c>
      <c r="D19" s="116">
        <f>'As-Filed Schedule 4'!D19</f>
        <v>0</v>
      </c>
      <c r="E19" s="387">
        <f>SUMIFS(Adjustments!$G:$G,Adjustments!$H:$H,"4",Adjustments!$I:$I,'Schedule 4 Adjustments'!$D$14,Adjustments!$J:$J,'Schedule 4 Adjustments'!$A19)</f>
        <v>0</v>
      </c>
      <c r="F19" s="379">
        <f t="shared" ref="F19:F82" si="0">SUM(D19:E19)</f>
        <v>0</v>
      </c>
      <c r="G19" s="409">
        <v>0</v>
      </c>
      <c r="H19" s="148">
        <f>D19*G19</f>
        <v>0</v>
      </c>
      <c r="I19" s="377">
        <f t="shared" ref="I19:I82" si="1">F19*G19</f>
        <v>0</v>
      </c>
      <c r="J19" s="149">
        <f t="shared" ref="J19:J81" si="2">G19*$H$12</f>
        <v>0</v>
      </c>
      <c r="K19" s="375">
        <f t="shared" ref="K19:K82" si="3">G19*$I$12</f>
        <v>0</v>
      </c>
      <c r="L19" s="150">
        <f>'As-Filed Schedule 4'!H19</f>
        <v>0</v>
      </c>
      <c r="M19" s="387">
        <f>SUMIFS(Adjustments!$G:$G,Adjustments!$H:$H,"4",Adjustments!$I:$I,'Schedule 4 Adjustments'!$L$14,Adjustments!$J:$J,'Schedule 4 Adjustments'!$A19)</f>
        <v>0</v>
      </c>
      <c r="N19" s="379">
        <f t="shared" ref="N19:N82" si="4">SUM(L19:M19)</f>
        <v>0</v>
      </c>
      <c r="O19" s="409">
        <v>0</v>
      </c>
      <c r="P19" s="47">
        <f>L19*O19</f>
        <v>0</v>
      </c>
      <c r="Q19" s="377">
        <f t="shared" ref="Q19:Q82" si="5">N19*O19</f>
        <v>0</v>
      </c>
      <c r="R19" s="21">
        <f t="shared" ref="R19:R81" si="6">O19*$H$12</f>
        <v>0</v>
      </c>
      <c r="S19" s="375">
        <f t="shared" ref="S19:S82" si="7">O19*$I$12</f>
        <v>0</v>
      </c>
    </row>
    <row r="20" spans="1:19" s="22" customFormat="1" x14ac:dyDescent="0.35">
      <c r="A20" s="19">
        <v>8</v>
      </c>
      <c r="B20" s="19">
        <v>82075</v>
      </c>
      <c r="C20" s="20" t="s">
        <v>112</v>
      </c>
      <c r="D20" s="116">
        <f>'As-Filed Schedule 4'!D20</f>
        <v>0</v>
      </c>
      <c r="E20" s="387">
        <f>SUMIFS(Adjustments!$G:$G,Adjustments!$H:$H,"4",Adjustments!$I:$I,'Schedule 4 Adjustments'!$D$14,Adjustments!$J:$J,'Schedule 4 Adjustments'!$A20)</f>
        <v>0</v>
      </c>
      <c r="F20" s="379">
        <f>SUM(D20:E20)</f>
        <v>0</v>
      </c>
      <c r="G20" s="409">
        <v>0</v>
      </c>
      <c r="H20" s="148">
        <f t="shared" ref="H20:H83" si="8">D20*G20</f>
        <v>0</v>
      </c>
      <c r="I20" s="377">
        <f t="shared" si="1"/>
        <v>0</v>
      </c>
      <c r="J20" s="149">
        <f t="shared" si="2"/>
        <v>0</v>
      </c>
      <c r="K20" s="375">
        <f t="shared" si="3"/>
        <v>0</v>
      </c>
      <c r="L20" s="150">
        <f>'As-Filed Schedule 4'!H20</f>
        <v>0</v>
      </c>
      <c r="M20" s="387">
        <f>SUMIFS(Adjustments!$G:$G,Adjustments!$H:$H,"4",Adjustments!$I:$I,'Schedule 4 Adjustments'!$L$14,Adjustments!$J:$J,'Schedule 4 Adjustments'!$A20)</f>
        <v>0</v>
      </c>
      <c r="N20" s="379">
        <f t="shared" si="4"/>
        <v>0</v>
      </c>
      <c r="O20" s="409">
        <v>0</v>
      </c>
      <c r="P20" s="47">
        <f t="shared" ref="P20:P82" si="9">L20*O20</f>
        <v>0</v>
      </c>
      <c r="Q20" s="377">
        <f>N20*O20</f>
        <v>0</v>
      </c>
      <c r="R20" s="21">
        <f t="shared" si="6"/>
        <v>0</v>
      </c>
      <c r="S20" s="375">
        <f t="shared" si="7"/>
        <v>0</v>
      </c>
    </row>
    <row r="21" spans="1:19" s="22" customFormat="1" x14ac:dyDescent="0.35">
      <c r="A21" s="19">
        <v>9</v>
      </c>
      <c r="B21" s="19">
        <v>90785</v>
      </c>
      <c r="C21" s="20" t="s">
        <v>319</v>
      </c>
      <c r="D21" s="116">
        <f>'As-Filed Schedule 4'!D21</f>
        <v>3</v>
      </c>
      <c r="E21" s="387">
        <f>SUMIFS(Adjustments!$G:$G,Adjustments!$H:$H,"4",Adjustments!$I:$I,'Schedule 4 Adjustments'!$D$14,Adjustments!$J:$J,'Schedule 4 Adjustments'!$A21)</f>
        <v>0</v>
      </c>
      <c r="F21" s="379">
        <f t="shared" si="0"/>
        <v>3</v>
      </c>
      <c r="G21" s="409">
        <v>0.44</v>
      </c>
      <c r="H21" s="47">
        <f t="shared" si="8"/>
        <v>1.32</v>
      </c>
      <c r="I21" s="377">
        <f t="shared" si="1"/>
        <v>1.32</v>
      </c>
      <c r="J21" s="21">
        <f t="shared" si="2"/>
        <v>41.030192994656666</v>
      </c>
      <c r="K21" s="375">
        <f t="shared" si="3"/>
        <v>41.030192994656666</v>
      </c>
      <c r="L21" s="150">
        <f>'As-Filed Schedule 4'!H21</f>
        <v>475</v>
      </c>
      <c r="M21" s="387">
        <f>SUMIFS(Adjustments!$G:$G,Adjustments!$H:$H,"4",Adjustments!$I:$I,'Schedule 4 Adjustments'!$L$14,Adjustments!$J:$J,'Schedule 4 Adjustments'!$A21)</f>
        <v>0</v>
      </c>
      <c r="N21" s="379">
        <f t="shared" si="4"/>
        <v>475</v>
      </c>
      <c r="O21" s="409">
        <v>0.39</v>
      </c>
      <c r="P21" s="47">
        <f t="shared" si="9"/>
        <v>185.25</v>
      </c>
      <c r="Q21" s="377">
        <f>N21*O21</f>
        <v>185.25</v>
      </c>
      <c r="R21" s="21">
        <f t="shared" si="6"/>
        <v>36.367671063445684</v>
      </c>
      <c r="S21" s="375">
        <f t="shared" si="7"/>
        <v>36.367671063445684</v>
      </c>
    </row>
    <row r="22" spans="1:19" s="22" customFormat="1" x14ac:dyDescent="0.35">
      <c r="A22" s="19">
        <v>10</v>
      </c>
      <c r="B22" s="19">
        <v>90791</v>
      </c>
      <c r="C22" s="20" t="s">
        <v>320</v>
      </c>
      <c r="D22" s="116">
        <f>'As-Filed Schedule 4'!D22</f>
        <v>275</v>
      </c>
      <c r="E22" s="387">
        <f>SUMIFS(Adjustments!$G:$G,Adjustments!$H:$H,"4",Adjustments!$I:$I,'Schedule 4 Adjustments'!$D$14,Adjustments!$J:$J,'Schedule 4 Adjustments'!$A22)</f>
        <v>0</v>
      </c>
      <c r="F22" s="379">
        <f t="shared" si="0"/>
        <v>275</v>
      </c>
      <c r="G22" s="409">
        <v>5.17</v>
      </c>
      <c r="H22" s="47">
        <f t="shared" si="8"/>
        <v>1421.75</v>
      </c>
      <c r="I22" s="377">
        <f t="shared" si="1"/>
        <v>1421.75</v>
      </c>
      <c r="J22" s="21">
        <f t="shared" si="2"/>
        <v>482.10476768721583</v>
      </c>
      <c r="K22" s="375">
        <f t="shared" si="3"/>
        <v>482.10476768721583</v>
      </c>
      <c r="L22" s="150">
        <f>'As-Filed Schedule 4'!H22</f>
        <v>6574</v>
      </c>
      <c r="M22" s="387">
        <f>SUMIFS(Adjustments!$G:$G,Adjustments!$H:$H,"4",Adjustments!$I:$I,'Schedule 4 Adjustments'!$L$14,Adjustments!$J:$J,'Schedule 4 Adjustments'!$A22)</f>
        <v>0</v>
      </c>
      <c r="N22" s="379">
        <f t="shared" si="4"/>
        <v>6574</v>
      </c>
      <c r="O22" s="409">
        <v>4.43</v>
      </c>
      <c r="P22" s="47">
        <f t="shared" si="9"/>
        <v>29122.82</v>
      </c>
      <c r="Q22" s="377">
        <f>N22*O22</f>
        <v>29122.82</v>
      </c>
      <c r="R22" s="21">
        <f t="shared" si="6"/>
        <v>413.09944310529323</v>
      </c>
      <c r="S22" s="375">
        <f t="shared" si="7"/>
        <v>413.09944310529323</v>
      </c>
    </row>
    <row r="23" spans="1:19" s="22" customFormat="1" x14ac:dyDescent="0.35">
      <c r="A23" s="19">
        <v>11</v>
      </c>
      <c r="B23" s="19">
        <v>90792</v>
      </c>
      <c r="C23" s="20" t="s">
        <v>321</v>
      </c>
      <c r="D23" s="116">
        <f>'As-Filed Schedule 4'!D23</f>
        <v>69</v>
      </c>
      <c r="E23" s="387">
        <f>SUMIFS(Adjustments!$G:$G,Adjustments!$H:$H,"4",Adjustments!$I:$I,'Schedule 4 Adjustments'!$D$14,Adjustments!$J:$J,'Schedule 4 Adjustments'!$A23)</f>
        <v>0</v>
      </c>
      <c r="F23" s="379">
        <f t="shared" si="0"/>
        <v>69</v>
      </c>
      <c r="G23" s="409">
        <v>5.82</v>
      </c>
      <c r="H23" s="47">
        <f t="shared" si="8"/>
        <v>401.58000000000004</v>
      </c>
      <c r="I23" s="377">
        <f t="shared" si="1"/>
        <v>401.58000000000004</v>
      </c>
      <c r="J23" s="21">
        <f t="shared" si="2"/>
        <v>542.71755279295871</v>
      </c>
      <c r="K23" s="375">
        <f t="shared" si="3"/>
        <v>542.71755279295871</v>
      </c>
      <c r="L23" s="150">
        <f>'As-Filed Schedule 4'!H23</f>
        <v>2801</v>
      </c>
      <c r="M23" s="387">
        <f>SUMIFS(Adjustments!$G:$G,Adjustments!$H:$H,"4",Adjustments!$I:$I,'Schedule 4 Adjustments'!$L$14,Adjustments!$J:$J,'Schedule 4 Adjustments'!$A23)</f>
        <v>0</v>
      </c>
      <c r="N23" s="379">
        <f t="shared" si="4"/>
        <v>2801</v>
      </c>
      <c r="O23" s="409">
        <v>5.08</v>
      </c>
      <c r="P23" s="47">
        <f t="shared" si="9"/>
        <v>14229.08</v>
      </c>
      <c r="Q23" s="377">
        <f t="shared" si="5"/>
        <v>14229.08</v>
      </c>
      <c r="R23" s="21">
        <f t="shared" si="6"/>
        <v>473.71222821103606</v>
      </c>
      <c r="S23" s="375">
        <f>O23*$I$12</f>
        <v>473.71222821103606</v>
      </c>
    </row>
    <row r="24" spans="1:19" s="22" customFormat="1" x14ac:dyDescent="0.35">
      <c r="A24" s="19">
        <v>12</v>
      </c>
      <c r="B24" s="19">
        <v>90832</v>
      </c>
      <c r="C24" s="20" t="s">
        <v>325</v>
      </c>
      <c r="D24" s="116">
        <f>'As-Filed Schedule 4'!D24</f>
        <v>406</v>
      </c>
      <c r="E24" s="387">
        <f>SUMIFS(Adjustments!$G:$G,Adjustments!$H:$H,"4",Adjustments!$I:$I,'Schedule 4 Adjustments'!$D$14,Adjustments!$J:$J,'Schedule 4 Adjustments'!$A24)</f>
        <v>0</v>
      </c>
      <c r="F24" s="379">
        <f t="shared" si="0"/>
        <v>406</v>
      </c>
      <c r="G24" s="409">
        <v>2.35</v>
      </c>
      <c r="H24" s="47">
        <f t="shared" si="8"/>
        <v>954.1</v>
      </c>
      <c r="I24" s="377">
        <f t="shared" si="1"/>
        <v>954.1</v>
      </c>
      <c r="J24" s="21">
        <f t="shared" si="2"/>
        <v>219.13853076691629</v>
      </c>
      <c r="K24" s="375">
        <f t="shared" si="3"/>
        <v>219.13853076691629</v>
      </c>
      <c r="L24" s="150">
        <f>'As-Filed Schedule 4'!H24</f>
        <v>6201</v>
      </c>
      <c r="M24" s="387">
        <f>SUMIFS(Adjustments!$G:$G,Adjustments!$H:$H,"4",Adjustments!$I:$I,'Schedule 4 Adjustments'!$L$14,Adjustments!$J:$J,'Schedule 4 Adjustments'!$A24)</f>
        <v>0</v>
      </c>
      <c r="N24" s="379">
        <f t="shared" si="4"/>
        <v>6201</v>
      </c>
      <c r="O24" s="409">
        <v>2.0499999999999998</v>
      </c>
      <c r="P24" s="47">
        <f t="shared" si="9"/>
        <v>12712.05</v>
      </c>
      <c r="Q24" s="377">
        <f t="shared" si="5"/>
        <v>12712.05</v>
      </c>
      <c r="R24" s="21">
        <f t="shared" si="6"/>
        <v>191.16339917965036</v>
      </c>
      <c r="S24" s="375">
        <f>O24*$I$12</f>
        <v>191.16339917965036</v>
      </c>
    </row>
    <row r="25" spans="1:19" s="22" customFormat="1" x14ac:dyDescent="0.35">
      <c r="A25" s="19">
        <v>13</v>
      </c>
      <c r="B25" s="19">
        <v>90833</v>
      </c>
      <c r="C25" s="20" t="s">
        <v>322</v>
      </c>
      <c r="D25" s="116">
        <f>'As-Filed Schedule 4'!D25</f>
        <v>0</v>
      </c>
      <c r="E25" s="387">
        <f>SUMIFS(Adjustments!$G:$G,Adjustments!$H:$H,"4",Adjustments!$I:$I,'Schedule 4 Adjustments'!$D$14,Adjustments!$J:$J,'Schedule 4 Adjustments'!$A25)</f>
        <v>0</v>
      </c>
      <c r="F25" s="379">
        <f t="shared" si="0"/>
        <v>0</v>
      </c>
      <c r="G25" s="409">
        <v>2.16</v>
      </c>
      <c r="H25" s="47">
        <f t="shared" si="8"/>
        <v>0</v>
      </c>
      <c r="I25" s="377">
        <f t="shared" si="1"/>
        <v>0</v>
      </c>
      <c r="J25" s="21">
        <f t="shared" si="2"/>
        <v>201.42094742831455</v>
      </c>
      <c r="K25" s="375">
        <f t="shared" si="3"/>
        <v>201.42094742831455</v>
      </c>
      <c r="L25" s="150">
        <f>'As-Filed Schedule 4'!H25</f>
        <v>721</v>
      </c>
      <c r="M25" s="387">
        <f>SUMIFS(Adjustments!$G:$G,Adjustments!$H:$H,"4",Adjustments!$I:$I,'Schedule 4 Adjustments'!$L$14,Adjustments!$J:$J,'Schedule 4 Adjustments'!$A25)</f>
        <v>0</v>
      </c>
      <c r="N25" s="379">
        <f t="shared" si="4"/>
        <v>721</v>
      </c>
      <c r="O25" s="409">
        <v>1.92</v>
      </c>
      <c r="P25" s="47">
        <f t="shared" si="9"/>
        <v>1384.32</v>
      </c>
      <c r="Q25" s="377">
        <f t="shared" si="5"/>
        <v>1384.32</v>
      </c>
      <c r="R25" s="21">
        <f t="shared" si="6"/>
        <v>179.04084215850182</v>
      </c>
      <c r="S25" s="375">
        <f t="shared" si="7"/>
        <v>179.04084215850182</v>
      </c>
    </row>
    <row r="26" spans="1:19" s="22" customFormat="1" x14ac:dyDescent="0.35">
      <c r="A26" s="19">
        <v>14</v>
      </c>
      <c r="B26" s="19">
        <v>90834</v>
      </c>
      <c r="C26" s="20" t="s">
        <v>323</v>
      </c>
      <c r="D26" s="116">
        <f>'As-Filed Schedule 4'!D26</f>
        <v>819</v>
      </c>
      <c r="E26" s="387">
        <f>SUMIFS(Adjustments!$G:$G,Adjustments!$H:$H,"4",Adjustments!$I:$I,'Schedule 4 Adjustments'!$D$14,Adjustments!$J:$J,'Schedule 4 Adjustments'!$A26)</f>
        <v>0</v>
      </c>
      <c r="F26" s="379">
        <f t="shared" si="0"/>
        <v>819</v>
      </c>
      <c r="G26" s="409">
        <v>3.1</v>
      </c>
      <c r="H26" s="47">
        <f t="shared" si="8"/>
        <v>2538.9</v>
      </c>
      <c r="I26" s="377">
        <f t="shared" si="1"/>
        <v>2538.9</v>
      </c>
      <c r="J26" s="21">
        <f t="shared" si="2"/>
        <v>289.07635973508104</v>
      </c>
      <c r="K26" s="375">
        <f t="shared" si="3"/>
        <v>289.07635973508104</v>
      </c>
      <c r="L26" s="150">
        <f>'As-Filed Schedule 4'!H26</f>
        <v>18573</v>
      </c>
      <c r="M26" s="387">
        <f>SUMIFS(Adjustments!$G:$G,Adjustments!$H:$H,"4",Adjustments!$I:$I,'Schedule 4 Adjustments'!$L$14,Adjustments!$J:$J,'Schedule 4 Adjustments'!$A26)</f>
        <v>0</v>
      </c>
      <c r="N26" s="379">
        <f t="shared" si="4"/>
        <v>18573</v>
      </c>
      <c r="O26" s="409">
        <v>2.71</v>
      </c>
      <c r="P26" s="47">
        <f t="shared" si="9"/>
        <v>50332.83</v>
      </c>
      <c r="Q26" s="377">
        <f t="shared" si="5"/>
        <v>50332.83</v>
      </c>
      <c r="R26" s="21">
        <f t="shared" si="6"/>
        <v>252.70868867163537</v>
      </c>
      <c r="S26" s="375">
        <f t="shared" si="7"/>
        <v>252.70868867163537</v>
      </c>
    </row>
    <row r="27" spans="1:19" s="22" customFormat="1" x14ac:dyDescent="0.35">
      <c r="A27" s="19">
        <v>15</v>
      </c>
      <c r="B27" s="19">
        <v>90836</v>
      </c>
      <c r="C27" s="20" t="s">
        <v>326</v>
      </c>
      <c r="D27" s="116">
        <f>'As-Filed Schedule 4'!D27</f>
        <v>0</v>
      </c>
      <c r="E27" s="387">
        <f>SUMIFS(Adjustments!$G:$G,Adjustments!$H:$H,"4",Adjustments!$I:$I,'Schedule 4 Adjustments'!$D$14,Adjustments!$J:$J,'Schedule 4 Adjustments'!$A27)</f>
        <v>0</v>
      </c>
      <c r="F27" s="379">
        <f t="shared" si="0"/>
        <v>0</v>
      </c>
      <c r="G27" s="409">
        <v>2.73</v>
      </c>
      <c r="H27" s="47">
        <f t="shared" si="8"/>
        <v>0</v>
      </c>
      <c r="I27" s="377">
        <f t="shared" si="1"/>
        <v>0</v>
      </c>
      <c r="J27" s="21">
        <f t="shared" si="2"/>
        <v>254.57369744411977</v>
      </c>
      <c r="K27" s="375">
        <f t="shared" si="3"/>
        <v>254.57369744411977</v>
      </c>
      <c r="L27" s="150">
        <f>'As-Filed Schedule 4'!H27</f>
        <v>0</v>
      </c>
      <c r="M27" s="387">
        <f>SUMIFS(Adjustments!$G:$G,Adjustments!$H:$H,"4",Adjustments!$I:$I,'Schedule 4 Adjustments'!$L$14,Adjustments!$J:$J,'Schedule 4 Adjustments'!$A27)</f>
        <v>0</v>
      </c>
      <c r="N27" s="379">
        <f t="shared" si="4"/>
        <v>0</v>
      </c>
      <c r="O27" s="409">
        <v>2.4300000000000002</v>
      </c>
      <c r="P27" s="47">
        <f t="shared" si="9"/>
        <v>0</v>
      </c>
      <c r="Q27" s="377">
        <f t="shared" si="5"/>
        <v>0</v>
      </c>
      <c r="R27" s="21">
        <f t="shared" si="6"/>
        <v>226.59856585685387</v>
      </c>
      <c r="S27" s="375">
        <f>O27*$I$12</f>
        <v>226.59856585685387</v>
      </c>
    </row>
    <row r="28" spans="1:19" s="22" customFormat="1" x14ac:dyDescent="0.35">
      <c r="A28" s="19">
        <v>16</v>
      </c>
      <c r="B28" s="19">
        <v>90837</v>
      </c>
      <c r="C28" s="20" t="s">
        <v>324</v>
      </c>
      <c r="D28" s="116">
        <f>'As-Filed Schedule 4'!D28</f>
        <v>738</v>
      </c>
      <c r="E28" s="387">
        <f>SUMIFS(Adjustments!$G:$G,Adjustments!$H:$H,"4",Adjustments!$I:$I,'Schedule 4 Adjustments'!$D$14,Adjustments!$J:$J,'Schedule 4 Adjustments'!$A28)</f>
        <v>0</v>
      </c>
      <c r="F28" s="379">
        <f t="shared" si="0"/>
        <v>738</v>
      </c>
      <c r="G28" s="409">
        <v>4.57</v>
      </c>
      <c r="H28" s="47">
        <f t="shared" si="8"/>
        <v>3372.6600000000003</v>
      </c>
      <c r="I28" s="377">
        <f t="shared" si="1"/>
        <v>3372.6600000000003</v>
      </c>
      <c r="J28" s="21">
        <f t="shared" si="2"/>
        <v>426.15450451268407</v>
      </c>
      <c r="K28" s="375">
        <f t="shared" si="3"/>
        <v>426.15450451268407</v>
      </c>
      <c r="L28" s="150">
        <f>'As-Filed Schedule 4'!H28</f>
        <v>17406</v>
      </c>
      <c r="M28" s="387">
        <f>SUMIFS(Adjustments!$G:$G,Adjustments!$H:$H,"4",Adjustments!$I:$I,'Schedule 4 Adjustments'!$L$14,Adjustments!$J:$J,'Schedule 4 Adjustments'!$A28)</f>
        <v>0</v>
      </c>
      <c r="N28" s="379">
        <f t="shared" si="4"/>
        <v>17406</v>
      </c>
      <c r="O28" s="409">
        <v>4</v>
      </c>
      <c r="P28" s="47">
        <f t="shared" si="9"/>
        <v>69624</v>
      </c>
      <c r="Q28" s="377">
        <f t="shared" si="5"/>
        <v>69624</v>
      </c>
      <c r="R28" s="21">
        <f t="shared" si="6"/>
        <v>373.00175449687879</v>
      </c>
      <c r="S28" s="375">
        <f t="shared" si="7"/>
        <v>373.00175449687879</v>
      </c>
    </row>
    <row r="29" spans="1:19" s="22" customFormat="1" x14ac:dyDescent="0.35">
      <c r="A29" s="19">
        <v>17</v>
      </c>
      <c r="B29" s="19">
        <v>90838</v>
      </c>
      <c r="C29" s="20" t="s">
        <v>327</v>
      </c>
      <c r="D29" s="116">
        <f>'As-Filed Schedule 4'!D29</f>
        <v>0</v>
      </c>
      <c r="E29" s="387">
        <f>SUMIFS(Adjustments!$G:$G,Adjustments!$H:$H,"4",Adjustments!$I:$I,'Schedule 4 Adjustments'!$D$14,Adjustments!$J:$J,'Schedule 4 Adjustments'!$A29)</f>
        <v>0</v>
      </c>
      <c r="F29" s="379">
        <f t="shared" si="0"/>
        <v>0</v>
      </c>
      <c r="G29" s="409">
        <v>3.62</v>
      </c>
      <c r="H29" s="47">
        <f t="shared" si="8"/>
        <v>0</v>
      </c>
      <c r="I29" s="377">
        <f t="shared" si="1"/>
        <v>0</v>
      </c>
      <c r="J29" s="21">
        <f t="shared" si="2"/>
        <v>337.56658781967531</v>
      </c>
      <c r="K29" s="375">
        <f t="shared" si="3"/>
        <v>337.56658781967531</v>
      </c>
      <c r="L29" s="150">
        <f>'As-Filed Schedule 4'!H29</f>
        <v>0</v>
      </c>
      <c r="M29" s="387">
        <f>SUMIFS(Adjustments!$G:$G,Adjustments!$H:$H,"4",Adjustments!$I:$I,'Schedule 4 Adjustments'!$L$14,Adjustments!$J:$J,'Schedule 4 Adjustments'!$A29)</f>
        <v>0</v>
      </c>
      <c r="N29" s="379">
        <f t="shared" si="4"/>
        <v>0</v>
      </c>
      <c r="O29" s="409">
        <v>3.22</v>
      </c>
      <c r="P29" s="47">
        <f t="shared" si="9"/>
        <v>0</v>
      </c>
      <c r="Q29" s="377">
        <f t="shared" si="5"/>
        <v>0</v>
      </c>
      <c r="R29" s="21">
        <f t="shared" si="6"/>
        <v>300.26641236998745</v>
      </c>
      <c r="S29" s="375">
        <f t="shared" si="7"/>
        <v>300.26641236998745</v>
      </c>
    </row>
    <row r="30" spans="1:19" s="22" customFormat="1" x14ac:dyDescent="0.35">
      <c r="A30" s="19">
        <v>18</v>
      </c>
      <c r="B30" s="19">
        <v>90839</v>
      </c>
      <c r="C30" s="20" t="s">
        <v>329</v>
      </c>
      <c r="D30" s="116">
        <f>'As-Filed Schedule 4'!D30</f>
        <v>4</v>
      </c>
      <c r="E30" s="387">
        <f>SUMIFS(Adjustments!$G:$G,Adjustments!$H:$H,"4",Adjustments!$I:$I,'Schedule 4 Adjustments'!$D$14,Adjustments!$J:$J,'Schedule 4 Adjustments'!$A30)</f>
        <v>0</v>
      </c>
      <c r="F30" s="379">
        <f t="shared" si="0"/>
        <v>4</v>
      </c>
      <c r="G30" s="409">
        <v>4.4000000000000004</v>
      </c>
      <c r="H30" s="47">
        <f t="shared" si="8"/>
        <v>17.600000000000001</v>
      </c>
      <c r="I30" s="377">
        <f t="shared" si="1"/>
        <v>17.600000000000001</v>
      </c>
      <c r="J30" s="21">
        <f t="shared" si="2"/>
        <v>410.3019299465667</v>
      </c>
      <c r="K30" s="375">
        <f t="shared" si="3"/>
        <v>410.3019299465667</v>
      </c>
      <c r="L30" s="150">
        <f>'As-Filed Schedule 4'!H30</f>
        <v>58</v>
      </c>
      <c r="M30" s="387">
        <f>SUMIFS(Adjustments!$G:$G,Adjustments!$H:$H,"4",Adjustments!$I:$I,'Schedule 4 Adjustments'!$L$14,Adjustments!$J:$J,'Schedule 4 Adjustments'!$A30)</f>
        <v>0</v>
      </c>
      <c r="N30" s="379">
        <f t="shared" si="4"/>
        <v>58</v>
      </c>
      <c r="O30" s="409">
        <v>3.87</v>
      </c>
      <c r="P30" s="47">
        <f t="shared" si="9"/>
        <v>224.46</v>
      </c>
      <c r="Q30" s="377">
        <f t="shared" si="5"/>
        <v>224.46</v>
      </c>
      <c r="R30" s="21">
        <f t="shared" si="6"/>
        <v>360.87919747573022</v>
      </c>
      <c r="S30" s="375">
        <f t="shared" si="7"/>
        <v>360.87919747573022</v>
      </c>
    </row>
    <row r="31" spans="1:19" s="22" customFormat="1" x14ac:dyDescent="0.35">
      <c r="A31" s="19">
        <v>19</v>
      </c>
      <c r="B31" s="19">
        <v>90840</v>
      </c>
      <c r="C31" s="20" t="s">
        <v>328</v>
      </c>
      <c r="D31" s="116">
        <f>'As-Filed Schedule 4'!D31</f>
        <v>0</v>
      </c>
      <c r="E31" s="387">
        <f>SUMIFS(Adjustments!$G:$G,Adjustments!$H:$H,"4",Adjustments!$I:$I,'Schedule 4 Adjustments'!$D$14,Adjustments!$J:$J,'Schedule 4 Adjustments'!$A31)</f>
        <v>0</v>
      </c>
      <c r="F31" s="379">
        <f t="shared" si="0"/>
        <v>0</v>
      </c>
      <c r="G31" s="409">
        <v>2.1800000000000002</v>
      </c>
      <c r="H31" s="47">
        <f t="shared" si="8"/>
        <v>0</v>
      </c>
      <c r="I31" s="377">
        <f t="shared" si="1"/>
        <v>0</v>
      </c>
      <c r="J31" s="21">
        <f t="shared" si="2"/>
        <v>203.28595620079895</v>
      </c>
      <c r="K31" s="375">
        <f t="shared" si="3"/>
        <v>203.28595620079895</v>
      </c>
      <c r="L31" s="150">
        <f>'As-Filed Schedule 4'!H31</f>
        <v>0</v>
      </c>
      <c r="M31" s="387">
        <f>SUMIFS(Adjustments!$G:$G,Adjustments!$H:$H,"4",Adjustments!$I:$I,'Schedule 4 Adjustments'!$L$14,Adjustments!$J:$J,'Schedule 4 Adjustments'!$A31)</f>
        <v>0</v>
      </c>
      <c r="N31" s="379">
        <f t="shared" si="4"/>
        <v>0</v>
      </c>
      <c r="O31" s="409">
        <v>1.94</v>
      </c>
      <c r="P31" s="47">
        <f t="shared" si="9"/>
        <v>0</v>
      </c>
      <c r="Q31" s="377">
        <f>N31*O31</f>
        <v>0</v>
      </c>
      <c r="R31" s="21">
        <f t="shared" si="6"/>
        <v>180.90585093098622</v>
      </c>
      <c r="S31" s="375">
        <f t="shared" si="7"/>
        <v>180.90585093098622</v>
      </c>
    </row>
    <row r="32" spans="1:19" s="22" customFormat="1" x14ac:dyDescent="0.35">
      <c r="A32" s="19">
        <v>20</v>
      </c>
      <c r="B32" s="19">
        <v>90846</v>
      </c>
      <c r="C32" s="20" t="s">
        <v>113</v>
      </c>
      <c r="D32" s="116">
        <f>'As-Filed Schedule 4'!D32</f>
        <v>4</v>
      </c>
      <c r="E32" s="387">
        <f>SUMIFS(Adjustments!$G:$G,Adjustments!$H:$H,"4",Adjustments!$I:$I,'Schedule 4 Adjustments'!$D$14,Adjustments!$J:$J,'Schedule 4 Adjustments'!$A32)</f>
        <v>0</v>
      </c>
      <c r="F32" s="379">
        <f t="shared" si="0"/>
        <v>4</v>
      </c>
      <c r="G32" s="409">
        <v>2.93</v>
      </c>
      <c r="H32" s="47">
        <f t="shared" si="8"/>
        <v>11.72</v>
      </c>
      <c r="I32" s="377">
        <f t="shared" si="1"/>
        <v>11.72</v>
      </c>
      <c r="J32" s="21">
        <f t="shared" si="2"/>
        <v>273.22378516896373</v>
      </c>
      <c r="K32" s="375">
        <f t="shared" si="3"/>
        <v>273.22378516896373</v>
      </c>
      <c r="L32" s="150">
        <f>'As-Filed Schedule 4'!H32</f>
        <v>495</v>
      </c>
      <c r="M32" s="387">
        <f>SUMIFS(Adjustments!$G:$G,Adjustments!$H:$H,"4",Adjustments!$I:$I,'Schedule 4 Adjustments'!$L$14,Adjustments!$J:$J,'Schedule 4 Adjustments'!$A32)</f>
        <v>0</v>
      </c>
      <c r="N32" s="379">
        <f t="shared" si="4"/>
        <v>495</v>
      </c>
      <c r="O32" s="409">
        <v>2.92</v>
      </c>
      <c r="P32" s="47">
        <f t="shared" si="9"/>
        <v>1445.3999999999999</v>
      </c>
      <c r="Q32" s="377">
        <f t="shared" si="5"/>
        <v>1445.3999999999999</v>
      </c>
      <c r="R32" s="21">
        <f t="shared" si="6"/>
        <v>272.29128078272151</v>
      </c>
      <c r="S32" s="375">
        <f t="shared" si="7"/>
        <v>272.29128078272151</v>
      </c>
    </row>
    <row r="33" spans="1:19" s="22" customFormat="1" x14ac:dyDescent="0.35">
      <c r="A33" s="19">
        <v>21</v>
      </c>
      <c r="B33" s="19">
        <v>90847</v>
      </c>
      <c r="C33" s="20" t="s">
        <v>114</v>
      </c>
      <c r="D33" s="116">
        <f>'As-Filed Schedule 4'!D33</f>
        <v>7</v>
      </c>
      <c r="E33" s="387">
        <f>SUMIFS(Adjustments!$G:$G,Adjustments!$H:$H,"4",Adjustments!$I:$I,'Schedule 4 Adjustments'!$D$14,Adjustments!$J:$J,'Schedule 4 Adjustments'!$A33)</f>
        <v>0</v>
      </c>
      <c r="F33" s="379">
        <f t="shared" si="0"/>
        <v>7</v>
      </c>
      <c r="G33" s="409">
        <v>3.07</v>
      </c>
      <c r="H33" s="47">
        <f t="shared" si="8"/>
        <v>21.49</v>
      </c>
      <c r="I33" s="377">
        <f t="shared" si="1"/>
        <v>21.49</v>
      </c>
      <c r="J33" s="21">
        <f t="shared" si="2"/>
        <v>286.27884657635445</v>
      </c>
      <c r="K33" s="375">
        <f t="shared" si="3"/>
        <v>286.27884657635445</v>
      </c>
      <c r="L33" s="150">
        <f>'As-Filed Schedule 4'!H33</f>
        <v>767</v>
      </c>
      <c r="M33" s="387">
        <f>SUMIFS(Adjustments!$G:$G,Adjustments!$H:$H,"4",Adjustments!$I:$I,'Schedule 4 Adjustments'!$L$14,Adjustments!$J:$J,'Schedule 4 Adjustments'!$A33)</f>
        <v>0</v>
      </c>
      <c r="N33" s="379">
        <f t="shared" si="4"/>
        <v>767</v>
      </c>
      <c r="O33" s="409">
        <v>3.05</v>
      </c>
      <c r="P33" s="47">
        <f t="shared" si="9"/>
        <v>2339.35</v>
      </c>
      <c r="Q33" s="377">
        <f t="shared" si="5"/>
        <v>2339.35</v>
      </c>
      <c r="R33" s="21">
        <f t="shared" si="6"/>
        <v>284.41383780387008</v>
      </c>
      <c r="S33" s="375">
        <f t="shared" si="7"/>
        <v>284.41383780387008</v>
      </c>
    </row>
    <row r="34" spans="1:19" s="22" customFormat="1" x14ac:dyDescent="0.35">
      <c r="A34" s="19">
        <v>22</v>
      </c>
      <c r="B34" s="19">
        <v>90849</v>
      </c>
      <c r="C34" s="20" t="s">
        <v>115</v>
      </c>
      <c r="D34" s="116">
        <f>'As-Filed Schedule 4'!D34</f>
        <v>0</v>
      </c>
      <c r="E34" s="387">
        <f>SUMIFS(Adjustments!$G:$G,Adjustments!$H:$H,"4",Adjustments!$I:$I,'Schedule 4 Adjustments'!$D$14,Adjustments!$J:$J,'Schedule 4 Adjustments'!$A34)</f>
        <v>0</v>
      </c>
      <c r="F34" s="379">
        <f t="shared" si="0"/>
        <v>0</v>
      </c>
      <c r="G34" s="409">
        <v>1.1299999999999999</v>
      </c>
      <c r="H34" s="47">
        <f t="shared" si="8"/>
        <v>0</v>
      </c>
      <c r="I34" s="377">
        <f t="shared" si="1"/>
        <v>0</v>
      </c>
      <c r="J34" s="21">
        <f t="shared" si="2"/>
        <v>105.37299564536825</v>
      </c>
      <c r="K34" s="375">
        <f t="shared" si="3"/>
        <v>105.37299564536825</v>
      </c>
      <c r="L34" s="150">
        <f>'As-Filed Schedule 4'!H34</f>
        <v>12</v>
      </c>
      <c r="M34" s="387">
        <f>SUMIFS(Adjustments!$G:$G,Adjustments!$H:$H,"4",Adjustments!$I:$I,'Schedule 4 Adjustments'!$L$14,Adjustments!$J:$J,'Schedule 4 Adjustments'!$A34)</f>
        <v>0</v>
      </c>
      <c r="N34" s="379">
        <f t="shared" si="4"/>
        <v>12</v>
      </c>
      <c r="O34" s="409">
        <v>0.88</v>
      </c>
      <c r="P34" s="47">
        <f t="shared" si="9"/>
        <v>10.56</v>
      </c>
      <c r="Q34" s="377">
        <f t="shared" si="5"/>
        <v>10.56</v>
      </c>
      <c r="R34" s="21">
        <f t="shared" si="6"/>
        <v>82.060385989313332</v>
      </c>
      <c r="S34" s="375">
        <f t="shared" si="7"/>
        <v>82.060385989313332</v>
      </c>
    </row>
    <row r="35" spans="1:19" s="22" customFormat="1" x14ac:dyDescent="0.35">
      <c r="A35" s="19">
        <v>23</v>
      </c>
      <c r="B35" s="19">
        <v>90853</v>
      </c>
      <c r="C35" s="20" t="s">
        <v>116</v>
      </c>
      <c r="D35" s="116">
        <f>'As-Filed Schedule 4'!D35</f>
        <v>0</v>
      </c>
      <c r="E35" s="387">
        <f>SUMIFS(Adjustments!$G:$G,Adjustments!$H:$H,"4",Adjustments!$I:$I,'Schedule 4 Adjustments'!$D$14,Adjustments!$J:$J,'Schedule 4 Adjustments'!$A35)</f>
        <v>0</v>
      </c>
      <c r="F35" s="379">
        <f t="shared" si="0"/>
        <v>0</v>
      </c>
      <c r="G35" s="409">
        <v>0.83</v>
      </c>
      <c r="H35" s="47">
        <f t="shared" si="8"/>
        <v>0</v>
      </c>
      <c r="I35" s="377">
        <f t="shared" si="1"/>
        <v>0</v>
      </c>
      <c r="J35" s="21">
        <f t="shared" si="2"/>
        <v>77.397864058102343</v>
      </c>
      <c r="K35" s="375">
        <f t="shared" si="3"/>
        <v>77.397864058102343</v>
      </c>
      <c r="L35" s="150">
        <f>'As-Filed Schedule 4'!H35</f>
        <v>3392</v>
      </c>
      <c r="M35" s="387">
        <f>SUMIFS(Adjustments!$G:$G,Adjustments!$H:$H,"4",Adjustments!$I:$I,'Schedule 4 Adjustments'!$L$14,Adjustments!$J:$J,'Schedule 4 Adjustments'!$A35)</f>
        <v>0</v>
      </c>
      <c r="N35" s="379">
        <f t="shared" si="4"/>
        <v>3392</v>
      </c>
      <c r="O35" s="409">
        <v>0.72</v>
      </c>
      <c r="P35" s="47">
        <f t="shared" si="9"/>
        <v>2442.2399999999998</v>
      </c>
      <c r="Q35" s="377">
        <f t="shared" si="5"/>
        <v>2442.2399999999998</v>
      </c>
      <c r="R35" s="21">
        <f t="shared" si="6"/>
        <v>67.140315809438178</v>
      </c>
      <c r="S35" s="375">
        <f t="shared" si="7"/>
        <v>67.140315809438178</v>
      </c>
    </row>
    <row r="36" spans="1:19" s="22" customFormat="1" x14ac:dyDescent="0.35">
      <c r="A36" s="19">
        <v>24</v>
      </c>
      <c r="B36" s="19">
        <v>90870</v>
      </c>
      <c r="C36" s="20" t="s">
        <v>117</v>
      </c>
      <c r="D36" s="116">
        <f>'As-Filed Schedule 4'!D36</f>
        <v>0</v>
      </c>
      <c r="E36" s="387">
        <f>SUMIFS(Adjustments!$G:$G,Adjustments!$H:$H,"4",Adjustments!$I:$I,'Schedule 4 Adjustments'!$D$14,Adjustments!$J:$J,'Schedule 4 Adjustments'!$A36)</f>
        <v>0</v>
      </c>
      <c r="F36" s="379">
        <f t="shared" si="0"/>
        <v>0</v>
      </c>
      <c r="G36" s="409">
        <v>5.18</v>
      </c>
      <c r="H36" s="47">
        <f t="shared" si="8"/>
        <v>0</v>
      </c>
      <c r="I36" s="377">
        <f t="shared" si="1"/>
        <v>0</v>
      </c>
      <c r="J36" s="21">
        <f t="shared" si="2"/>
        <v>483.03727207345798</v>
      </c>
      <c r="K36" s="375">
        <f t="shared" si="3"/>
        <v>483.03727207345798</v>
      </c>
      <c r="L36" s="150">
        <f>'As-Filed Schedule 4'!H36</f>
        <v>0</v>
      </c>
      <c r="M36" s="387">
        <f>SUMIFS(Adjustments!$G:$G,Adjustments!$H:$H,"4",Adjustments!$I:$I,'Schedule 4 Adjustments'!$L$14,Adjustments!$J:$J,'Schedule 4 Adjustments'!$A36)</f>
        <v>0</v>
      </c>
      <c r="N36" s="379">
        <f t="shared" si="4"/>
        <v>0</v>
      </c>
      <c r="O36" s="409">
        <v>3.12</v>
      </c>
      <c r="P36" s="47">
        <f t="shared" si="9"/>
        <v>0</v>
      </c>
      <c r="Q36" s="377">
        <f t="shared" si="5"/>
        <v>0</v>
      </c>
      <c r="R36" s="21">
        <f t="shared" si="6"/>
        <v>290.94136850756547</v>
      </c>
      <c r="S36" s="375">
        <f t="shared" si="7"/>
        <v>290.94136850756547</v>
      </c>
    </row>
    <row r="37" spans="1:19" s="22" customFormat="1" x14ac:dyDescent="0.35">
      <c r="A37" s="19">
        <v>25</v>
      </c>
      <c r="B37" s="19">
        <v>90875</v>
      </c>
      <c r="C37" s="20" t="s">
        <v>152</v>
      </c>
      <c r="D37" s="116">
        <f>'As-Filed Schedule 4'!D37</f>
        <v>0</v>
      </c>
      <c r="E37" s="387">
        <f>SUMIFS(Adjustments!$G:$G,Adjustments!$H:$H,"4",Adjustments!$I:$I,'Schedule 4 Adjustments'!$D$14,Adjustments!$J:$J,'Schedule 4 Adjustments'!$A37)</f>
        <v>0</v>
      </c>
      <c r="F37" s="379">
        <f t="shared" si="0"/>
        <v>0</v>
      </c>
      <c r="G37" s="409">
        <v>1.75</v>
      </c>
      <c r="H37" s="47">
        <f t="shared" si="8"/>
        <v>0</v>
      </c>
      <c r="I37" s="377">
        <f t="shared" si="1"/>
        <v>0</v>
      </c>
      <c r="J37" s="21">
        <f t="shared" si="2"/>
        <v>163.18826759238448</v>
      </c>
      <c r="K37" s="375">
        <f t="shared" si="3"/>
        <v>163.18826759238448</v>
      </c>
      <c r="L37" s="150">
        <f>'As-Filed Schedule 4'!H37</f>
        <v>0</v>
      </c>
      <c r="M37" s="387">
        <f>SUMIFS(Adjustments!$G:$G,Adjustments!$H:$H,"4",Adjustments!$I:$I,'Schedule 4 Adjustments'!$L$14,Adjustments!$J:$J,'Schedule 4 Adjustments'!$A37)</f>
        <v>0</v>
      </c>
      <c r="N37" s="379">
        <f t="shared" si="4"/>
        <v>0</v>
      </c>
      <c r="O37" s="409">
        <v>1.74</v>
      </c>
      <c r="P37" s="47">
        <f t="shared" si="9"/>
        <v>0</v>
      </c>
      <c r="Q37" s="377">
        <f t="shared" si="5"/>
        <v>0</v>
      </c>
      <c r="R37" s="21">
        <f t="shared" si="6"/>
        <v>162.25576320614226</v>
      </c>
      <c r="S37" s="375">
        <f t="shared" si="7"/>
        <v>162.25576320614226</v>
      </c>
    </row>
    <row r="38" spans="1:19" s="22" customFormat="1" x14ac:dyDescent="0.35">
      <c r="A38" s="19">
        <v>26</v>
      </c>
      <c r="B38" s="19">
        <v>90876</v>
      </c>
      <c r="C38" s="20" t="s">
        <v>153</v>
      </c>
      <c r="D38" s="116">
        <f>'As-Filed Schedule 4'!D38</f>
        <v>0</v>
      </c>
      <c r="E38" s="387">
        <f>SUMIFS(Adjustments!$G:$G,Adjustments!$H:$H,"4",Adjustments!$I:$I,'Schedule 4 Adjustments'!$D$14,Adjustments!$J:$J,'Schedule 4 Adjustments'!$A38)</f>
        <v>0</v>
      </c>
      <c r="F38" s="379">
        <f t="shared" si="0"/>
        <v>0</v>
      </c>
      <c r="G38" s="409">
        <v>3.08</v>
      </c>
      <c r="H38" s="47">
        <f t="shared" si="8"/>
        <v>0</v>
      </c>
      <c r="I38" s="377">
        <f t="shared" si="1"/>
        <v>0</v>
      </c>
      <c r="J38" s="21">
        <f t="shared" si="2"/>
        <v>287.21135096259667</v>
      </c>
      <c r="K38" s="375">
        <f t="shared" si="3"/>
        <v>287.21135096259667</v>
      </c>
      <c r="L38" s="150">
        <f>'As-Filed Schedule 4'!H38</f>
        <v>0</v>
      </c>
      <c r="M38" s="387">
        <f>SUMIFS(Adjustments!$G:$G,Adjustments!$H:$H,"4",Adjustments!$I:$I,'Schedule 4 Adjustments'!$L$14,Adjustments!$J:$J,'Schedule 4 Adjustments'!$A38)</f>
        <v>0</v>
      </c>
      <c r="N38" s="379">
        <f t="shared" si="4"/>
        <v>0</v>
      </c>
      <c r="O38" s="409">
        <v>2.76</v>
      </c>
      <c r="P38" s="47">
        <f t="shared" si="9"/>
        <v>0</v>
      </c>
      <c r="Q38" s="377">
        <f t="shared" si="5"/>
        <v>0</v>
      </c>
      <c r="R38" s="21">
        <f t="shared" si="6"/>
        <v>257.37121060284636</v>
      </c>
      <c r="S38" s="375">
        <f t="shared" si="7"/>
        <v>257.37121060284636</v>
      </c>
    </row>
    <row r="39" spans="1:19" s="22" customFormat="1" x14ac:dyDescent="0.35">
      <c r="A39" s="19">
        <v>27</v>
      </c>
      <c r="B39" s="19">
        <v>90887</v>
      </c>
      <c r="C39" s="20" t="s">
        <v>330</v>
      </c>
      <c r="D39" s="116">
        <f>'As-Filed Schedule 4'!D39</f>
        <v>0</v>
      </c>
      <c r="E39" s="387">
        <f>SUMIFS(Adjustments!$G:$G,Adjustments!$H:$H,"4",Adjustments!$I:$I,'Schedule 4 Adjustments'!$D$14,Adjustments!$J:$J,'Schedule 4 Adjustments'!$A39)</f>
        <v>0</v>
      </c>
      <c r="F39" s="379">
        <f t="shared" si="0"/>
        <v>0</v>
      </c>
      <c r="G39" s="409">
        <v>2.56</v>
      </c>
      <c r="H39" s="47">
        <f t="shared" si="8"/>
        <v>0</v>
      </c>
      <c r="I39" s="377">
        <f t="shared" si="1"/>
        <v>0</v>
      </c>
      <c r="J39" s="21">
        <f t="shared" si="2"/>
        <v>238.72112287800243</v>
      </c>
      <c r="K39" s="375">
        <f t="shared" si="3"/>
        <v>238.72112287800243</v>
      </c>
      <c r="L39" s="150">
        <f>'As-Filed Schedule 4'!H39</f>
        <v>21</v>
      </c>
      <c r="M39" s="387">
        <f>SUMIFS(Adjustments!$G:$G,Adjustments!$H:$H,"4",Adjustments!$I:$I,'Schedule 4 Adjustments'!$L$14,Adjustments!$J:$J,'Schedule 4 Adjustments'!$A39)</f>
        <v>0</v>
      </c>
      <c r="N39" s="379">
        <f t="shared" si="4"/>
        <v>21</v>
      </c>
      <c r="O39" s="409">
        <v>2.14</v>
      </c>
      <c r="P39" s="47">
        <f t="shared" si="9"/>
        <v>44.940000000000005</v>
      </c>
      <c r="Q39" s="377">
        <f t="shared" si="5"/>
        <v>44.940000000000005</v>
      </c>
      <c r="R39" s="21">
        <f t="shared" si="6"/>
        <v>199.55593865583018</v>
      </c>
      <c r="S39" s="375">
        <f t="shared" si="7"/>
        <v>199.55593865583018</v>
      </c>
    </row>
    <row r="40" spans="1:19" s="22" customFormat="1" x14ac:dyDescent="0.35">
      <c r="A40" s="19">
        <v>28</v>
      </c>
      <c r="B40" s="19">
        <v>96116</v>
      </c>
      <c r="C40" s="20" t="s">
        <v>341</v>
      </c>
      <c r="D40" s="116">
        <f>'As-Filed Schedule 4'!D40</f>
        <v>0</v>
      </c>
      <c r="E40" s="387">
        <f>SUMIFS(Adjustments!$G:$G,Adjustments!$H:$H,"4",Adjustments!$I:$I,'Schedule 4 Adjustments'!$D$14,Adjustments!$J:$J,'Schedule 4 Adjustments'!$A40)</f>
        <v>0</v>
      </c>
      <c r="F40" s="379">
        <f t="shared" si="0"/>
        <v>0</v>
      </c>
      <c r="G40" s="409">
        <v>2.76</v>
      </c>
      <c r="H40" s="47">
        <f t="shared" si="8"/>
        <v>0</v>
      </c>
      <c r="I40" s="377">
        <f t="shared" si="1"/>
        <v>0</v>
      </c>
      <c r="J40" s="21">
        <f t="shared" si="2"/>
        <v>257.37121060284636</v>
      </c>
      <c r="K40" s="375">
        <f t="shared" si="3"/>
        <v>257.37121060284636</v>
      </c>
      <c r="L40" s="150">
        <f>'As-Filed Schedule 4'!H40</f>
        <v>0</v>
      </c>
      <c r="M40" s="387">
        <f>SUMIFS(Adjustments!$G:$G,Adjustments!$H:$H,"4",Adjustments!$I:$I,'Schedule 4 Adjustments'!$L$14,Adjustments!$J:$J,'Schedule 4 Adjustments'!$A40)</f>
        <v>0</v>
      </c>
      <c r="N40" s="379">
        <f t="shared" si="4"/>
        <v>0</v>
      </c>
      <c r="O40" s="409">
        <v>2.37</v>
      </c>
      <c r="P40" s="47">
        <f t="shared" si="9"/>
        <v>0</v>
      </c>
      <c r="Q40" s="377">
        <f t="shared" si="5"/>
        <v>0</v>
      </c>
      <c r="R40" s="21">
        <f t="shared" si="6"/>
        <v>221.00353953940069</v>
      </c>
      <c r="S40" s="375">
        <f t="shared" si="7"/>
        <v>221.00353953940069</v>
      </c>
    </row>
    <row r="41" spans="1:19" s="22" customFormat="1" x14ac:dyDescent="0.35">
      <c r="A41" s="19">
        <v>29</v>
      </c>
      <c r="B41" s="19">
        <v>96121</v>
      </c>
      <c r="C41" s="20" t="s">
        <v>340</v>
      </c>
      <c r="D41" s="116">
        <f>'As-Filed Schedule 4'!D41</f>
        <v>0</v>
      </c>
      <c r="E41" s="387">
        <f>SUMIFS(Adjustments!$G:$G,Adjustments!$H:$H,"4",Adjustments!$I:$I,'Schedule 4 Adjustments'!$D$14,Adjustments!$J:$J,'Schedule 4 Adjustments'!$A41)</f>
        <v>0</v>
      </c>
      <c r="F41" s="379">
        <f t="shared" si="0"/>
        <v>0</v>
      </c>
      <c r="G41" s="409">
        <v>2.25</v>
      </c>
      <c r="H41" s="47">
        <f t="shared" si="8"/>
        <v>0</v>
      </c>
      <c r="I41" s="377">
        <f t="shared" si="1"/>
        <v>0</v>
      </c>
      <c r="J41" s="21">
        <f t="shared" si="2"/>
        <v>209.81348690449431</v>
      </c>
      <c r="K41" s="375">
        <f t="shared" si="3"/>
        <v>209.81348690449431</v>
      </c>
      <c r="L41" s="150">
        <f>'As-Filed Schedule 4'!H41</f>
        <v>0</v>
      </c>
      <c r="M41" s="387">
        <f>SUMIFS(Adjustments!$G:$G,Adjustments!$H:$H,"4",Adjustments!$I:$I,'Schedule 4 Adjustments'!$L$14,Adjustments!$J:$J,'Schedule 4 Adjustments'!$A41)</f>
        <v>0</v>
      </c>
      <c r="N41" s="379">
        <f t="shared" si="4"/>
        <v>0</v>
      </c>
      <c r="O41" s="409">
        <v>1.97</v>
      </c>
      <c r="P41" s="47">
        <f t="shared" si="9"/>
        <v>0</v>
      </c>
      <c r="Q41" s="377">
        <f t="shared" si="5"/>
        <v>0</v>
      </c>
      <c r="R41" s="21">
        <f t="shared" si="6"/>
        <v>183.70336408971281</v>
      </c>
      <c r="S41" s="375">
        <f t="shared" si="7"/>
        <v>183.70336408971281</v>
      </c>
    </row>
    <row r="42" spans="1:19" s="22" customFormat="1" x14ac:dyDescent="0.35">
      <c r="A42" s="19">
        <v>30</v>
      </c>
      <c r="B42" s="19">
        <v>96130</v>
      </c>
      <c r="C42" s="20" t="s">
        <v>338</v>
      </c>
      <c r="D42" s="116">
        <f>'As-Filed Schedule 4'!D42</f>
        <v>0</v>
      </c>
      <c r="E42" s="387">
        <f>SUMIFS(Adjustments!$G:$G,Adjustments!$H:$H,"4",Adjustments!$I:$I,'Schedule 4 Adjustments'!$D$14,Adjustments!$J:$J,'Schedule 4 Adjustments'!$A42)</f>
        <v>0</v>
      </c>
      <c r="F42" s="379">
        <f t="shared" si="0"/>
        <v>0</v>
      </c>
      <c r="G42" s="409">
        <v>3.6</v>
      </c>
      <c r="H42" s="47">
        <f t="shared" si="8"/>
        <v>0</v>
      </c>
      <c r="I42" s="377">
        <f t="shared" si="1"/>
        <v>0</v>
      </c>
      <c r="J42" s="21">
        <f t="shared" si="2"/>
        <v>335.70157904719093</v>
      </c>
      <c r="K42" s="375">
        <f t="shared" si="3"/>
        <v>335.70157904719093</v>
      </c>
      <c r="L42" s="150">
        <f>'As-Filed Schedule 4'!H42</f>
        <v>55</v>
      </c>
      <c r="M42" s="387">
        <f>SUMIFS(Adjustments!$G:$G,Adjustments!$H:$H,"4",Adjustments!$I:$I,'Schedule 4 Adjustments'!$L$14,Adjustments!$J:$J,'Schedule 4 Adjustments'!$A42)</f>
        <v>0</v>
      </c>
      <c r="N42" s="379">
        <f t="shared" si="4"/>
        <v>55</v>
      </c>
      <c r="O42" s="409">
        <v>3.25</v>
      </c>
      <c r="P42" s="47">
        <f t="shared" si="9"/>
        <v>178.75</v>
      </c>
      <c r="Q42" s="377">
        <f t="shared" si="5"/>
        <v>178.75</v>
      </c>
      <c r="R42" s="21">
        <f t="shared" si="6"/>
        <v>303.06392552871404</v>
      </c>
      <c r="S42" s="375">
        <f t="shared" si="7"/>
        <v>303.06392552871404</v>
      </c>
    </row>
    <row r="43" spans="1:19" s="22" customFormat="1" x14ac:dyDescent="0.35">
      <c r="A43" s="19">
        <v>31</v>
      </c>
      <c r="B43" s="19">
        <v>96131</v>
      </c>
      <c r="C43" s="20" t="s">
        <v>339</v>
      </c>
      <c r="D43" s="116">
        <f>'As-Filed Schedule 4'!D43</f>
        <v>0</v>
      </c>
      <c r="E43" s="387">
        <f>SUMIFS(Adjustments!$G:$G,Adjustments!$H:$H,"4",Adjustments!$I:$I,'Schedule 4 Adjustments'!$D$14,Adjustments!$J:$J,'Schedule 4 Adjustments'!$A43)</f>
        <v>0</v>
      </c>
      <c r="F43" s="379">
        <f t="shared" si="0"/>
        <v>0</v>
      </c>
      <c r="G43" s="409">
        <v>2.57</v>
      </c>
      <c r="H43" s="47">
        <f t="shared" si="8"/>
        <v>0</v>
      </c>
      <c r="I43" s="377">
        <f t="shared" si="1"/>
        <v>0</v>
      </c>
      <c r="J43" s="21">
        <f t="shared" si="2"/>
        <v>239.65362726424462</v>
      </c>
      <c r="K43" s="375">
        <f t="shared" si="3"/>
        <v>239.65362726424462</v>
      </c>
      <c r="L43" s="150">
        <f>'As-Filed Schedule 4'!H43</f>
        <v>272</v>
      </c>
      <c r="M43" s="387">
        <f>SUMIFS(Adjustments!$G:$G,Adjustments!$H:$H,"4",Adjustments!$I:$I,'Schedule 4 Adjustments'!$L$14,Adjustments!$J:$J,'Schedule 4 Adjustments'!$A43)</f>
        <v>0</v>
      </c>
      <c r="N43" s="379">
        <f t="shared" si="4"/>
        <v>272</v>
      </c>
      <c r="O43" s="409">
        <v>2.25</v>
      </c>
      <c r="P43" s="47">
        <f t="shared" si="9"/>
        <v>612</v>
      </c>
      <c r="Q43" s="377">
        <f t="shared" si="5"/>
        <v>612</v>
      </c>
      <c r="R43" s="21">
        <f t="shared" si="6"/>
        <v>209.81348690449431</v>
      </c>
      <c r="S43" s="375">
        <f t="shared" si="7"/>
        <v>209.81348690449431</v>
      </c>
    </row>
    <row r="44" spans="1:19" s="22" customFormat="1" x14ac:dyDescent="0.35">
      <c r="A44" s="19">
        <v>32</v>
      </c>
      <c r="B44" s="19">
        <v>96132</v>
      </c>
      <c r="C44" s="20" t="s">
        <v>332</v>
      </c>
      <c r="D44" s="116">
        <f>'As-Filed Schedule 4'!D44</f>
        <v>0</v>
      </c>
      <c r="E44" s="387">
        <f>SUMIFS(Adjustments!$G:$G,Adjustments!$H:$H,"4",Adjustments!$I:$I,'Schedule 4 Adjustments'!$D$14,Adjustments!$J:$J,'Schedule 4 Adjustments'!$A44)</f>
        <v>0</v>
      </c>
      <c r="F44" s="379">
        <f t="shared" si="0"/>
        <v>0</v>
      </c>
      <c r="G44" s="409">
        <v>3.85</v>
      </c>
      <c r="H44" s="47">
        <f t="shared" si="8"/>
        <v>0</v>
      </c>
      <c r="I44" s="377">
        <f t="shared" si="1"/>
        <v>0</v>
      </c>
      <c r="J44" s="21">
        <f t="shared" si="2"/>
        <v>359.01418870324585</v>
      </c>
      <c r="K44" s="375">
        <f t="shared" si="3"/>
        <v>359.01418870324585</v>
      </c>
      <c r="L44" s="150">
        <f>'As-Filed Schedule 4'!H44</f>
        <v>0</v>
      </c>
      <c r="M44" s="387">
        <f>SUMIFS(Adjustments!$G:$G,Adjustments!$H:$H,"4",Adjustments!$I:$I,'Schedule 4 Adjustments'!$L$14,Adjustments!$J:$J,'Schedule 4 Adjustments'!$A44)</f>
        <v>0</v>
      </c>
      <c r="N44" s="379">
        <f t="shared" si="4"/>
        <v>0</v>
      </c>
      <c r="O44" s="409">
        <v>3.14</v>
      </c>
      <c r="P44" s="47">
        <f t="shared" si="9"/>
        <v>0</v>
      </c>
      <c r="Q44" s="377">
        <f t="shared" si="5"/>
        <v>0</v>
      </c>
      <c r="R44" s="21">
        <f t="shared" si="6"/>
        <v>292.80637728004984</v>
      </c>
      <c r="S44" s="375">
        <f t="shared" si="7"/>
        <v>292.80637728004984</v>
      </c>
    </row>
    <row r="45" spans="1:19" s="22" customFormat="1" x14ac:dyDescent="0.35">
      <c r="A45" s="19">
        <v>33</v>
      </c>
      <c r="B45" s="19">
        <v>96133</v>
      </c>
      <c r="C45" s="20" t="s">
        <v>333</v>
      </c>
      <c r="D45" s="116">
        <f>'As-Filed Schedule 4'!D45</f>
        <v>0</v>
      </c>
      <c r="E45" s="387">
        <f>SUMIFS(Adjustments!$G:$G,Adjustments!$H:$H,"4",Adjustments!$I:$I,'Schedule 4 Adjustments'!$D$14,Adjustments!$J:$J,'Schedule 4 Adjustments'!$A45)</f>
        <v>0</v>
      </c>
      <c r="F45" s="379">
        <f t="shared" si="0"/>
        <v>0</v>
      </c>
      <c r="G45" s="409">
        <v>2.92</v>
      </c>
      <c r="H45" s="47">
        <f t="shared" si="8"/>
        <v>0</v>
      </c>
      <c r="I45" s="377">
        <f t="shared" si="1"/>
        <v>0</v>
      </c>
      <c r="J45" s="21">
        <f t="shared" si="2"/>
        <v>272.29128078272151</v>
      </c>
      <c r="K45" s="375">
        <f t="shared" si="3"/>
        <v>272.29128078272151</v>
      </c>
      <c r="L45" s="150">
        <f>'As-Filed Schedule 4'!H45</f>
        <v>0</v>
      </c>
      <c r="M45" s="387">
        <f>SUMIFS(Adjustments!$G:$G,Adjustments!$H:$H,"4",Adjustments!$I:$I,'Schedule 4 Adjustments'!$L$14,Adjustments!$J:$J,'Schedule 4 Adjustments'!$A45)</f>
        <v>0</v>
      </c>
      <c r="N45" s="379">
        <f t="shared" si="4"/>
        <v>0</v>
      </c>
      <c r="O45" s="409">
        <v>2.2599999999999998</v>
      </c>
      <c r="P45" s="47">
        <f t="shared" si="9"/>
        <v>0</v>
      </c>
      <c r="Q45" s="377">
        <f t="shared" si="5"/>
        <v>0</v>
      </c>
      <c r="R45" s="21">
        <f t="shared" si="6"/>
        <v>210.7459912907365</v>
      </c>
      <c r="S45" s="375">
        <f t="shared" si="7"/>
        <v>210.7459912907365</v>
      </c>
    </row>
    <row r="46" spans="1:19" s="22" customFormat="1" x14ac:dyDescent="0.35">
      <c r="A46" s="19">
        <v>34</v>
      </c>
      <c r="B46" s="19">
        <v>96136</v>
      </c>
      <c r="C46" s="20" t="s">
        <v>334</v>
      </c>
      <c r="D46" s="116">
        <f>'As-Filed Schedule 4'!D46</f>
        <v>0</v>
      </c>
      <c r="E46" s="387">
        <f>SUMIFS(Adjustments!$G:$G,Adjustments!$H:$H,"4",Adjustments!$I:$I,'Schedule 4 Adjustments'!$D$14,Adjustments!$J:$J,'Schedule 4 Adjustments'!$A46)</f>
        <v>0</v>
      </c>
      <c r="F46" s="379">
        <f t="shared" si="0"/>
        <v>0</v>
      </c>
      <c r="G46" s="409">
        <v>1.25</v>
      </c>
      <c r="H46" s="47">
        <f t="shared" si="8"/>
        <v>0</v>
      </c>
      <c r="I46" s="377">
        <f t="shared" si="1"/>
        <v>0</v>
      </c>
      <c r="J46" s="21">
        <f t="shared" si="2"/>
        <v>116.56304828027461</v>
      </c>
      <c r="K46" s="375">
        <f t="shared" si="3"/>
        <v>116.56304828027461</v>
      </c>
      <c r="L46" s="150">
        <f>'As-Filed Schedule 4'!H46</f>
        <v>50</v>
      </c>
      <c r="M46" s="387">
        <f>SUMIFS(Adjustments!$G:$G,Adjustments!$H:$H,"4",Adjustments!$I:$I,'Schedule 4 Adjustments'!$L$14,Adjustments!$J:$J,'Schedule 4 Adjustments'!$A46)</f>
        <v>0</v>
      </c>
      <c r="N46" s="379">
        <f t="shared" si="4"/>
        <v>50</v>
      </c>
      <c r="O46" s="409">
        <v>0.69</v>
      </c>
      <c r="P46" s="47">
        <f t="shared" si="9"/>
        <v>34.5</v>
      </c>
      <c r="Q46" s="377">
        <f t="shared" si="5"/>
        <v>34.5</v>
      </c>
      <c r="R46" s="21">
        <f t="shared" si="6"/>
        <v>64.34280265071159</v>
      </c>
      <c r="S46" s="375">
        <f t="shared" si="7"/>
        <v>64.34280265071159</v>
      </c>
    </row>
    <row r="47" spans="1:19" s="22" customFormat="1" x14ac:dyDescent="0.35">
      <c r="A47" s="19">
        <v>35</v>
      </c>
      <c r="B47" s="19">
        <v>96137</v>
      </c>
      <c r="C47" s="20" t="s">
        <v>335</v>
      </c>
      <c r="D47" s="116">
        <f>'As-Filed Schedule 4'!D47</f>
        <v>0</v>
      </c>
      <c r="E47" s="387">
        <f>SUMIFS(Adjustments!$G:$G,Adjustments!$H:$H,"4",Adjustments!$I:$I,'Schedule 4 Adjustments'!$D$14,Adjustments!$J:$J,'Schedule 4 Adjustments'!$A47)</f>
        <v>0</v>
      </c>
      <c r="F47" s="379">
        <f t="shared" si="0"/>
        <v>0</v>
      </c>
      <c r="G47" s="409">
        <v>1.1299999999999999</v>
      </c>
      <c r="H47" s="47">
        <f t="shared" si="8"/>
        <v>0</v>
      </c>
      <c r="I47" s="377">
        <f t="shared" si="1"/>
        <v>0</v>
      </c>
      <c r="J47" s="21">
        <f t="shared" si="2"/>
        <v>105.37299564536825</v>
      </c>
      <c r="K47" s="375">
        <f t="shared" si="3"/>
        <v>105.37299564536825</v>
      </c>
      <c r="L47" s="150">
        <f>'As-Filed Schedule 4'!H47</f>
        <v>477</v>
      </c>
      <c r="M47" s="387">
        <f>SUMIFS(Adjustments!$G:$G,Adjustments!$H:$H,"4",Adjustments!$I:$I,'Schedule 4 Adjustments'!$L$14,Adjustments!$J:$J,'Schedule 4 Adjustments'!$A47)</f>
        <v>0</v>
      </c>
      <c r="N47" s="379">
        <f t="shared" si="4"/>
        <v>477</v>
      </c>
      <c r="O47" s="409">
        <v>0.53</v>
      </c>
      <c r="P47" s="47">
        <f t="shared" si="9"/>
        <v>252.81</v>
      </c>
      <c r="Q47" s="377">
        <f t="shared" si="5"/>
        <v>252.81</v>
      </c>
      <c r="R47" s="21">
        <f t="shared" si="6"/>
        <v>49.422732470836443</v>
      </c>
      <c r="S47" s="375">
        <f t="shared" si="7"/>
        <v>49.422732470836443</v>
      </c>
    </row>
    <row r="48" spans="1:19" s="22" customFormat="1" x14ac:dyDescent="0.35">
      <c r="A48" s="19">
        <v>36</v>
      </c>
      <c r="B48" s="19">
        <v>96138</v>
      </c>
      <c r="C48" s="20" t="s">
        <v>336</v>
      </c>
      <c r="D48" s="116">
        <f>'As-Filed Schedule 4'!D48</f>
        <v>0</v>
      </c>
      <c r="E48" s="387">
        <f>SUMIFS(Adjustments!$G:$G,Adjustments!$H:$H,"4",Adjustments!$I:$I,'Schedule 4 Adjustments'!$D$14,Adjustments!$J:$J,'Schedule 4 Adjustments'!$A48)</f>
        <v>0</v>
      </c>
      <c r="F48" s="379">
        <f t="shared" si="0"/>
        <v>0</v>
      </c>
      <c r="G48" s="409">
        <v>1.03</v>
      </c>
      <c r="H48" s="47">
        <f t="shared" si="8"/>
        <v>0</v>
      </c>
      <c r="I48" s="377">
        <f t="shared" si="1"/>
        <v>0</v>
      </c>
      <c r="J48" s="21">
        <f t="shared" si="2"/>
        <v>96.047951782946285</v>
      </c>
      <c r="K48" s="375">
        <f t="shared" si="3"/>
        <v>96.047951782946285</v>
      </c>
      <c r="L48" s="150">
        <f>'As-Filed Schedule 4'!H48</f>
        <v>0</v>
      </c>
      <c r="M48" s="387">
        <f>SUMIFS(Adjustments!$G:$G,Adjustments!$H:$H,"4",Adjustments!$I:$I,'Schedule 4 Adjustments'!$L$14,Adjustments!$J:$J,'Schedule 4 Adjustments'!$A48)</f>
        <v>0</v>
      </c>
      <c r="N48" s="379">
        <f t="shared" si="4"/>
        <v>0</v>
      </c>
      <c r="O48" s="409">
        <v>0.56999999999999995</v>
      </c>
      <c r="P48" s="47">
        <f t="shared" si="9"/>
        <v>0</v>
      </c>
      <c r="Q48" s="377">
        <f t="shared" si="5"/>
        <v>0</v>
      </c>
      <c r="R48" s="21">
        <f t="shared" si="6"/>
        <v>53.152750015805225</v>
      </c>
      <c r="S48" s="375">
        <f t="shared" si="7"/>
        <v>53.152750015805225</v>
      </c>
    </row>
    <row r="49" spans="1:19" s="22" customFormat="1" x14ac:dyDescent="0.35">
      <c r="A49" s="19">
        <v>37</v>
      </c>
      <c r="B49" s="19">
        <v>96139</v>
      </c>
      <c r="C49" s="20" t="s">
        <v>337</v>
      </c>
      <c r="D49" s="116">
        <f>'As-Filed Schedule 4'!D49</f>
        <v>0</v>
      </c>
      <c r="E49" s="387">
        <f>SUMIFS(Adjustments!$G:$G,Adjustments!$H:$H,"4",Adjustments!$I:$I,'Schedule 4 Adjustments'!$D$14,Adjustments!$J:$J,'Schedule 4 Adjustments'!$A49)</f>
        <v>0</v>
      </c>
      <c r="F49" s="379">
        <f t="shared" si="0"/>
        <v>0</v>
      </c>
      <c r="G49" s="409">
        <v>1.06</v>
      </c>
      <c r="H49" s="47">
        <f t="shared" si="8"/>
        <v>0</v>
      </c>
      <c r="I49" s="377">
        <f t="shared" si="1"/>
        <v>0</v>
      </c>
      <c r="J49" s="21">
        <f t="shared" si="2"/>
        <v>98.845464941672887</v>
      </c>
      <c r="K49" s="375">
        <f t="shared" si="3"/>
        <v>98.845464941672887</v>
      </c>
      <c r="L49" s="150">
        <f>'As-Filed Schedule 4'!H49</f>
        <v>0</v>
      </c>
      <c r="M49" s="387">
        <f>SUMIFS(Adjustments!$G:$G,Adjustments!$H:$H,"4",Adjustments!$I:$I,'Schedule 4 Adjustments'!$L$14,Adjustments!$J:$J,'Schedule 4 Adjustments'!$A49)</f>
        <v>0</v>
      </c>
      <c r="N49" s="379">
        <f t="shared" si="4"/>
        <v>0</v>
      </c>
      <c r="O49" s="409">
        <v>0.5</v>
      </c>
      <c r="P49" s="47">
        <f t="shared" si="9"/>
        <v>0</v>
      </c>
      <c r="Q49" s="377">
        <f t="shared" si="5"/>
        <v>0</v>
      </c>
      <c r="R49" s="21">
        <f t="shared" si="6"/>
        <v>46.625219312109849</v>
      </c>
      <c r="S49" s="375">
        <f t="shared" si="7"/>
        <v>46.625219312109849</v>
      </c>
    </row>
    <row r="50" spans="1:19" s="22" customFormat="1" x14ac:dyDescent="0.35">
      <c r="A50" s="19">
        <v>38</v>
      </c>
      <c r="B50" s="19">
        <v>96146</v>
      </c>
      <c r="C50" s="20" t="s">
        <v>331</v>
      </c>
      <c r="D50" s="116">
        <f>'As-Filed Schedule 4'!D50</f>
        <v>0</v>
      </c>
      <c r="E50" s="387">
        <f>SUMIFS(Adjustments!$G:$G,Adjustments!$H:$H,"4",Adjustments!$I:$I,'Schedule 4 Adjustments'!$D$14,Adjustments!$J:$J,'Schedule 4 Adjustments'!$A50)</f>
        <v>0</v>
      </c>
      <c r="F50" s="379">
        <f t="shared" si="0"/>
        <v>0</v>
      </c>
      <c r="G50" s="409">
        <v>7.0000000000000007E-2</v>
      </c>
      <c r="H50" s="47">
        <f t="shared" si="8"/>
        <v>0</v>
      </c>
      <c r="I50" s="377">
        <f t="shared" si="1"/>
        <v>0</v>
      </c>
      <c r="J50" s="21">
        <f t="shared" si="2"/>
        <v>6.5275307036953798</v>
      </c>
      <c r="K50" s="375">
        <f t="shared" si="3"/>
        <v>6.5275307036953798</v>
      </c>
      <c r="L50" s="150">
        <f>'As-Filed Schedule 4'!H50</f>
        <v>0</v>
      </c>
      <c r="M50" s="387">
        <f>SUMIFS(Adjustments!$G:$G,Adjustments!$H:$H,"4",Adjustments!$I:$I,'Schedule 4 Adjustments'!$L$14,Adjustments!$J:$J,'Schedule 4 Adjustments'!$A50)</f>
        <v>0</v>
      </c>
      <c r="N50" s="379">
        <f t="shared" si="4"/>
        <v>0</v>
      </c>
      <c r="O50" s="409">
        <v>7.0000000000000007E-2</v>
      </c>
      <c r="P50" s="47">
        <f t="shared" si="9"/>
        <v>0</v>
      </c>
      <c r="Q50" s="377">
        <f t="shared" si="5"/>
        <v>0</v>
      </c>
      <c r="R50" s="21">
        <f t="shared" si="6"/>
        <v>6.5275307036953798</v>
      </c>
      <c r="S50" s="375">
        <f t="shared" si="7"/>
        <v>6.5275307036953798</v>
      </c>
    </row>
    <row r="51" spans="1:19" s="22" customFormat="1" x14ac:dyDescent="0.35">
      <c r="A51" s="19">
        <v>39</v>
      </c>
      <c r="B51" s="19">
        <v>96372</v>
      </c>
      <c r="C51" s="20" t="s">
        <v>118</v>
      </c>
      <c r="D51" s="116">
        <f>'As-Filed Schedule 4'!D51</f>
        <v>157</v>
      </c>
      <c r="E51" s="387">
        <f>SUMIFS(Adjustments!$G:$G,Adjustments!$H:$H,"4",Adjustments!$I:$I,'Schedule 4 Adjustments'!$D$14,Adjustments!$J:$J,'Schedule 4 Adjustments'!$A51)</f>
        <v>0</v>
      </c>
      <c r="F51" s="379">
        <f t="shared" si="0"/>
        <v>157</v>
      </c>
      <c r="G51" s="409">
        <v>0.43</v>
      </c>
      <c r="H51" s="47">
        <f t="shared" si="8"/>
        <v>67.510000000000005</v>
      </c>
      <c r="I51" s="377">
        <f t="shared" si="1"/>
        <v>67.510000000000005</v>
      </c>
      <c r="J51" s="21">
        <f t="shared" si="2"/>
        <v>40.097688608414472</v>
      </c>
      <c r="K51" s="375">
        <f t="shared" si="3"/>
        <v>40.097688608414472</v>
      </c>
      <c r="L51" s="150">
        <f>'As-Filed Schedule 4'!H51</f>
        <v>2341</v>
      </c>
      <c r="M51" s="387">
        <f>SUMIFS(Adjustments!$G:$G,Adjustments!$H:$H,"4",Adjustments!$I:$I,'Schedule 4 Adjustments'!$L$14,Adjustments!$J:$J,'Schedule 4 Adjustments'!$A51)</f>
        <v>0</v>
      </c>
      <c r="N51" s="379">
        <f t="shared" si="4"/>
        <v>2341</v>
      </c>
      <c r="O51" s="409">
        <v>0.43</v>
      </c>
      <c r="P51" s="47">
        <f t="shared" si="9"/>
        <v>1006.63</v>
      </c>
      <c r="Q51" s="377">
        <f t="shared" si="5"/>
        <v>1006.63</v>
      </c>
      <c r="R51" s="21">
        <f t="shared" si="6"/>
        <v>40.097688608414472</v>
      </c>
      <c r="S51" s="375">
        <f t="shared" si="7"/>
        <v>40.097688608414472</v>
      </c>
    </row>
    <row r="52" spans="1:19" s="22" customFormat="1" x14ac:dyDescent="0.35">
      <c r="A52" s="19">
        <v>40</v>
      </c>
      <c r="B52" s="19">
        <v>97535</v>
      </c>
      <c r="C52" s="20" t="s">
        <v>119</v>
      </c>
      <c r="D52" s="116">
        <f>'As-Filed Schedule 4'!D52</f>
        <v>0</v>
      </c>
      <c r="E52" s="387">
        <f>SUMIFS(Adjustments!$G:$G,Adjustments!$H:$H,"4",Adjustments!$I:$I,'Schedule 4 Adjustments'!$D$14,Adjustments!$J:$J,'Schedule 4 Adjustments'!$A52)</f>
        <v>0</v>
      </c>
      <c r="F52" s="379">
        <f t="shared" si="0"/>
        <v>0</v>
      </c>
      <c r="G52" s="409">
        <v>0.98</v>
      </c>
      <c r="H52" s="47">
        <f t="shared" si="8"/>
        <v>0</v>
      </c>
      <c r="I52" s="377">
        <f t="shared" si="1"/>
        <v>0</v>
      </c>
      <c r="J52" s="21">
        <f t="shared" si="2"/>
        <v>91.385429851735296</v>
      </c>
      <c r="K52" s="375">
        <f t="shared" si="3"/>
        <v>91.385429851735296</v>
      </c>
      <c r="L52" s="150">
        <f>'As-Filed Schedule 4'!H52</f>
        <v>0</v>
      </c>
      <c r="M52" s="387">
        <f>SUMIFS(Adjustments!$G:$G,Adjustments!$H:$H,"4",Adjustments!$I:$I,'Schedule 4 Adjustments'!$L$14,Adjustments!$J:$J,'Schedule 4 Adjustments'!$A52)</f>
        <v>0</v>
      </c>
      <c r="N52" s="379">
        <f t="shared" si="4"/>
        <v>0</v>
      </c>
      <c r="O52" s="409">
        <v>0.98</v>
      </c>
      <c r="P52" s="47">
        <f t="shared" si="9"/>
        <v>0</v>
      </c>
      <c r="Q52" s="377">
        <f t="shared" si="5"/>
        <v>0</v>
      </c>
      <c r="R52" s="21">
        <f t="shared" si="6"/>
        <v>91.385429851735296</v>
      </c>
      <c r="S52" s="375">
        <f t="shared" si="7"/>
        <v>91.385429851735296</v>
      </c>
    </row>
    <row r="53" spans="1:19" s="22" customFormat="1" x14ac:dyDescent="0.35">
      <c r="A53" s="19">
        <v>41</v>
      </c>
      <c r="B53" s="19">
        <v>97537</v>
      </c>
      <c r="C53" s="20" t="s">
        <v>120</v>
      </c>
      <c r="D53" s="116">
        <f>'As-Filed Schedule 4'!D53</f>
        <v>0</v>
      </c>
      <c r="E53" s="387">
        <f>SUMIFS(Adjustments!$G:$G,Adjustments!$H:$H,"4",Adjustments!$I:$I,'Schedule 4 Adjustments'!$D$14,Adjustments!$J:$J,'Schedule 4 Adjustments'!$A53)</f>
        <v>0</v>
      </c>
      <c r="F53" s="379">
        <f t="shared" si="0"/>
        <v>0</v>
      </c>
      <c r="G53" s="409">
        <v>0.95</v>
      </c>
      <c r="H53" s="47">
        <f t="shared" si="8"/>
        <v>0</v>
      </c>
      <c r="I53" s="377">
        <f t="shared" si="1"/>
        <v>0</v>
      </c>
      <c r="J53" s="21">
        <f t="shared" si="2"/>
        <v>88.587916693008708</v>
      </c>
      <c r="K53" s="375">
        <f t="shared" si="3"/>
        <v>88.587916693008708</v>
      </c>
      <c r="L53" s="150">
        <f>'As-Filed Schedule 4'!H53</f>
        <v>448</v>
      </c>
      <c r="M53" s="387">
        <f>SUMIFS(Adjustments!$G:$G,Adjustments!$H:$H,"4",Adjustments!$I:$I,'Schedule 4 Adjustments'!$L$14,Adjustments!$J:$J,'Schedule 4 Adjustments'!$A53)</f>
        <v>0</v>
      </c>
      <c r="N53" s="379">
        <f t="shared" si="4"/>
        <v>448</v>
      </c>
      <c r="O53" s="409">
        <v>0.95</v>
      </c>
      <c r="P53" s="47">
        <f t="shared" si="9"/>
        <v>425.59999999999997</v>
      </c>
      <c r="Q53" s="377">
        <f t="shared" si="5"/>
        <v>425.59999999999997</v>
      </c>
      <c r="R53" s="21">
        <f t="shared" si="6"/>
        <v>88.587916693008708</v>
      </c>
      <c r="S53" s="375">
        <f t="shared" si="7"/>
        <v>88.587916693008708</v>
      </c>
    </row>
    <row r="54" spans="1:19" s="22" customFormat="1" x14ac:dyDescent="0.35">
      <c r="A54" s="19">
        <v>42</v>
      </c>
      <c r="B54" s="19">
        <v>98966</v>
      </c>
      <c r="C54" s="20" t="s">
        <v>342</v>
      </c>
      <c r="D54" s="116">
        <f>'As-Filed Schedule 4'!D54</f>
        <v>0</v>
      </c>
      <c r="E54" s="387">
        <f>SUMIFS(Adjustments!$G:$G,Adjustments!$H:$H,"4",Adjustments!$I:$I,'Schedule 4 Adjustments'!$D$14,Adjustments!$J:$J,'Schedule 4 Adjustments'!$A54)</f>
        <v>0</v>
      </c>
      <c r="F54" s="379">
        <f t="shared" si="0"/>
        <v>0</v>
      </c>
      <c r="G54" s="409">
        <v>0.39</v>
      </c>
      <c r="H54" s="47">
        <f t="shared" si="8"/>
        <v>0</v>
      </c>
      <c r="I54" s="377">
        <f t="shared" si="1"/>
        <v>0</v>
      </c>
      <c r="J54" s="21">
        <f t="shared" si="2"/>
        <v>36.367671063445684</v>
      </c>
      <c r="K54" s="375">
        <f t="shared" si="3"/>
        <v>36.367671063445684</v>
      </c>
      <c r="L54" s="150">
        <f>'As-Filed Schedule 4'!H54</f>
        <v>0</v>
      </c>
      <c r="M54" s="387">
        <f>SUMIFS(Adjustments!$G:$G,Adjustments!$H:$H,"4",Adjustments!$I:$I,'Schedule 4 Adjustments'!$L$14,Adjustments!$J:$J,'Schedule 4 Adjustments'!$A54)</f>
        <v>0</v>
      </c>
      <c r="N54" s="379">
        <f t="shared" si="4"/>
        <v>0</v>
      </c>
      <c r="O54" s="409">
        <v>0.34</v>
      </c>
      <c r="P54" s="47">
        <f t="shared" si="9"/>
        <v>0</v>
      </c>
      <c r="Q54" s="377">
        <f t="shared" si="5"/>
        <v>0</v>
      </c>
      <c r="R54" s="21">
        <f t="shared" si="6"/>
        <v>31.705149132234698</v>
      </c>
      <c r="S54" s="375">
        <f t="shared" si="7"/>
        <v>31.705149132234698</v>
      </c>
    </row>
    <row r="55" spans="1:19" s="22" customFormat="1" x14ac:dyDescent="0.35">
      <c r="A55" s="19">
        <v>43</v>
      </c>
      <c r="B55" s="19">
        <v>98967</v>
      </c>
      <c r="C55" s="20" t="s">
        <v>343</v>
      </c>
      <c r="D55" s="116">
        <f>'As-Filed Schedule 4'!D55</f>
        <v>0</v>
      </c>
      <c r="E55" s="387">
        <f>SUMIFS(Adjustments!$G:$G,Adjustments!$H:$H,"4",Adjustments!$I:$I,'Schedule 4 Adjustments'!$D$14,Adjustments!$J:$J,'Schedule 4 Adjustments'!$A55)</f>
        <v>0</v>
      </c>
      <c r="F55" s="379">
        <f t="shared" si="0"/>
        <v>0</v>
      </c>
      <c r="G55" s="409">
        <v>0.72</v>
      </c>
      <c r="H55" s="47">
        <f t="shared" si="8"/>
        <v>0</v>
      </c>
      <c r="I55" s="377">
        <f t="shared" si="1"/>
        <v>0</v>
      </c>
      <c r="J55" s="21">
        <f t="shared" si="2"/>
        <v>67.140315809438178</v>
      </c>
      <c r="K55" s="375">
        <f t="shared" si="3"/>
        <v>67.140315809438178</v>
      </c>
      <c r="L55" s="150">
        <f>'As-Filed Schedule 4'!H55</f>
        <v>0</v>
      </c>
      <c r="M55" s="387">
        <f>SUMIFS(Adjustments!$G:$G,Adjustments!$H:$H,"4",Adjustments!$I:$I,'Schedule 4 Adjustments'!$L$14,Adjustments!$J:$J,'Schedule 4 Adjustments'!$A55)</f>
        <v>0</v>
      </c>
      <c r="N55" s="379">
        <f t="shared" si="4"/>
        <v>0</v>
      </c>
      <c r="O55" s="409">
        <v>0.66</v>
      </c>
      <c r="P55" s="47">
        <f t="shared" si="9"/>
        <v>0</v>
      </c>
      <c r="Q55" s="377">
        <f t="shared" si="5"/>
        <v>0</v>
      </c>
      <c r="R55" s="21">
        <f t="shared" si="6"/>
        <v>61.545289491985002</v>
      </c>
      <c r="S55" s="375">
        <f t="shared" si="7"/>
        <v>61.545289491985002</v>
      </c>
    </row>
    <row r="56" spans="1:19" s="22" customFormat="1" x14ac:dyDescent="0.35">
      <c r="A56" s="19">
        <v>44</v>
      </c>
      <c r="B56" s="19">
        <v>98968</v>
      </c>
      <c r="C56" s="20" t="s">
        <v>344</v>
      </c>
      <c r="D56" s="116">
        <f>'As-Filed Schedule 4'!D56</f>
        <v>0</v>
      </c>
      <c r="E56" s="387">
        <f>SUMIFS(Adjustments!$G:$G,Adjustments!$H:$H,"4",Adjustments!$I:$I,'Schedule 4 Adjustments'!$D$14,Adjustments!$J:$J,'Schedule 4 Adjustments'!$A56)</f>
        <v>0</v>
      </c>
      <c r="F56" s="379">
        <f t="shared" si="0"/>
        <v>0</v>
      </c>
      <c r="G56" s="409">
        <v>0.99</v>
      </c>
      <c r="H56" s="47">
        <f t="shared" si="8"/>
        <v>0</v>
      </c>
      <c r="I56" s="377">
        <f t="shared" si="1"/>
        <v>0</v>
      </c>
      <c r="J56" s="21">
        <f t="shared" si="2"/>
        <v>92.317934237977497</v>
      </c>
      <c r="K56" s="375">
        <f t="shared" si="3"/>
        <v>92.317934237977497</v>
      </c>
      <c r="L56" s="150">
        <f>'As-Filed Schedule 4'!H56</f>
        <v>0</v>
      </c>
      <c r="M56" s="387">
        <f>SUMIFS(Adjustments!$G:$G,Adjustments!$H:$H,"4",Adjustments!$I:$I,'Schedule 4 Adjustments'!$L$14,Adjustments!$J:$J,'Schedule 4 Adjustments'!$A56)</f>
        <v>0</v>
      </c>
      <c r="N56" s="379">
        <f t="shared" si="4"/>
        <v>0</v>
      </c>
      <c r="O56" s="409">
        <v>0.92</v>
      </c>
      <c r="P56" s="47">
        <f t="shared" si="9"/>
        <v>0</v>
      </c>
      <c r="Q56" s="377">
        <f t="shared" si="5"/>
        <v>0</v>
      </c>
      <c r="R56" s="21">
        <f t="shared" si="6"/>
        <v>85.79040353428212</v>
      </c>
      <c r="S56" s="375">
        <f t="shared" si="7"/>
        <v>85.79040353428212</v>
      </c>
    </row>
    <row r="57" spans="1:19" s="22" customFormat="1" x14ac:dyDescent="0.35">
      <c r="A57" s="19">
        <v>45</v>
      </c>
      <c r="B57" s="19">
        <v>99202</v>
      </c>
      <c r="C57" s="20" t="s">
        <v>154</v>
      </c>
      <c r="D57" s="116">
        <f>'As-Filed Schedule 4'!D57</f>
        <v>0</v>
      </c>
      <c r="E57" s="387">
        <f>SUMIFS(Adjustments!$G:$G,Adjustments!$H:$H,"4",Adjustments!$I:$I,'Schedule 4 Adjustments'!$D$14,Adjustments!$J:$J,'Schedule 4 Adjustments'!$A57)</f>
        <v>0</v>
      </c>
      <c r="F57" s="379">
        <f t="shared" si="0"/>
        <v>0</v>
      </c>
      <c r="G57" s="409">
        <v>2.17</v>
      </c>
      <c r="H57" s="47">
        <f t="shared" si="8"/>
        <v>0</v>
      </c>
      <c r="I57" s="377">
        <f t="shared" si="1"/>
        <v>0</v>
      </c>
      <c r="J57" s="21">
        <f t="shared" si="2"/>
        <v>202.35345181455673</v>
      </c>
      <c r="K57" s="375">
        <f t="shared" si="3"/>
        <v>202.35345181455673</v>
      </c>
      <c r="L57" s="150">
        <f>'As-Filed Schedule 4'!H57</f>
        <v>0</v>
      </c>
      <c r="M57" s="387">
        <f>SUMIFS(Adjustments!$G:$G,Adjustments!$H:$H,"4",Adjustments!$I:$I,'Schedule 4 Adjustments'!$L$14,Adjustments!$J:$J,'Schedule 4 Adjustments'!$A57)</f>
        <v>0</v>
      </c>
      <c r="N57" s="379">
        <f t="shared" si="4"/>
        <v>0</v>
      </c>
      <c r="O57" s="409">
        <v>1.41</v>
      </c>
      <c r="P57" s="47">
        <f t="shared" si="9"/>
        <v>0</v>
      </c>
      <c r="Q57" s="377">
        <f t="shared" si="5"/>
        <v>0</v>
      </c>
      <c r="R57" s="21">
        <f t="shared" si="6"/>
        <v>131.48311846014977</v>
      </c>
      <c r="S57" s="375">
        <f t="shared" si="7"/>
        <v>131.48311846014977</v>
      </c>
    </row>
    <row r="58" spans="1:19" s="22" customFormat="1" x14ac:dyDescent="0.35">
      <c r="A58" s="19">
        <v>46</v>
      </c>
      <c r="B58" s="19">
        <v>99203</v>
      </c>
      <c r="C58" s="20" t="s">
        <v>154</v>
      </c>
      <c r="D58" s="116">
        <f>'As-Filed Schedule 4'!D58</f>
        <v>0</v>
      </c>
      <c r="E58" s="387">
        <f>SUMIFS(Adjustments!$G:$G,Adjustments!$H:$H,"4",Adjustments!$I:$I,'Schedule 4 Adjustments'!$D$14,Adjustments!$J:$J,'Schedule 4 Adjustments'!$A58)</f>
        <v>0</v>
      </c>
      <c r="F58" s="379">
        <f t="shared" si="0"/>
        <v>0</v>
      </c>
      <c r="G58" s="409">
        <v>3.35</v>
      </c>
      <c r="H58" s="47">
        <f t="shared" si="8"/>
        <v>0</v>
      </c>
      <c r="I58" s="377">
        <f t="shared" si="1"/>
        <v>0</v>
      </c>
      <c r="J58" s="21">
        <f t="shared" si="2"/>
        <v>312.38896939113602</v>
      </c>
      <c r="K58" s="375">
        <f t="shared" si="3"/>
        <v>312.38896939113602</v>
      </c>
      <c r="L58" s="150">
        <f>'As-Filed Schedule 4'!H58</f>
        <v>0</v>
      </c>
      <c r="M58" s="387">
        <f>SUMIFS(Adjustments!$G:$G,Adjustments!$H:$H,"4",Adjustments!$I:$I,'Schedule 4 Adjustments'!$L$14,Adjustments!$J:$J,'Schedule 4 Adjustments'!$A58)</f>
        <v>0</v>
      </c>
      <c r="N58" s="379">
        <f t="shared" si="4"/>
        <v>0</v>
      </c>
      <c r="O58" s="409">
        <v>2.44</v>
      </c>
      <c r="P58" s="47">
        <f t="shared" si="9"/>
        <v>0</v>
      </c>
      <c r="Q58" s="377">
        <f t="shared" si="5"/>
        <v>0</v>
      </c>
      <c r="R58" s="21">
        <f t="shared" si="6"/>
        <v>227.53107024309605</v>
      </c>
      <c r="S58" s="375">
        <f t="shared" si="7"/>
        <v>227.53107024309605</v>
      </c>
    </row>
    <row r="59" spans="1:19" s="22" customFormat="1" x14ac:dyDescent="0.35">
      <c r="A59" s="19">
        <v>47</v>
      </c>
      <c r="B59" s="19">
        <v>99204</v>
      </c>
      <c r="C59" s="20" t="s">
        <v>154</v>
      </c>
      <c r="D59" s="116">
        <f>'As-Filed Schedule 4'!D59</f>
        <v>0</v>
      </c>
      <c r="E59" s="387">
        <f>SUMIFS(Adjustments!$G:$G,Adjustments!$H:$H,"4",Adjustments!$I:$I,'Schedule 4 Adjustments'!$D$14,Adjustments!$J:$J,'Schedule 4 Adjustments'!$A59)</f>
        <v>0</v>
      </c>
      <c r="F59" s="379">
        <f t="shared" si="0"/>
        <v>0</v>
      </c>
      <c r="G59" s="409">
        <v>5.0199999999999996</v>
      </c>
      <c r="H59" s="47">
        <f t="shared" si="8"/>
        <v>0</v>
      </c>
      <c r="I59" s="377">
        <f t="shared" si="1"/>
        <v>0</v>
      </c>
      <c r="J59" s="21">
        <f t="shared" si="2"/>
        <v>468.11720189358283</v>
      </c>
      <c r="K59" s="375">
        <f t="shared" si="3"/>
        <v>468.11720189358283</v>
      </c>
      <c r="L59" s="150">
        <f>'As-Filed Schedule 4'!H59</f>
        <v>0</v>
      </c>
      <c r="M59" s="387">
        <f>SUMIFS(Adjustments!$G:$G,Adjustments!$H:$H,"4",Adjustments!$I:$I,'Schedule 4 Adjustments'!$L$14,Adjustments!$J:$J,'Schedule 4 Adjustments'!$A59)</f>
        <v>0</v>
      </c>
      <c r="N59" s="379">
        <f t="shared" si="4"/>
        <v>0</v>
      </c>
      <c r="O59" s="409">
        <v>3.97</v>
      </c>
      <c r="P59" s="47">
        <f t="shared" si="9"/>
        <v>0</v>
      </c>
      <c r="Q59" s="377">
        <f t="shared" si="5"/>
        <v>0</v>
      </c>
      <c r="R59" s="21">
        <f t="shared" si="6"/>
        <v>370.2042413381522</v>
      </c>
      <c r="S59" s="375">
        <f t="shared" si="7"/>
        <v>370.2042413381522</v>
      </c>
    </row>
    <row r="60" spans="1:19" s="22" customFormat="1" x14ac:dyDescent="0.35">
      <c r="A60" s="19">
        <v>48</v>
      </c>
      <c r="B60" s="19">
        <v>99205</v>
      </c>
      <c r="C60" s="20" t="s">
        <v>154</v>
      </c>
      <c r="D60" s="116">
        <f>'As-Filed Schedule 4'!D60</f>
        <v>0</v>
      </c>
      <c r="E60" s="387">
        <f>SUMIFS(Adjustments!$G:$G,Adjustments!$H:$H,"4",Adjustments!$I:$I,'Schedule 4 Adjustments'!$D$14,Adjustments!$J:$J,'Schedule 4 Adjustments'!$A60)</f>
        <v>0</v>
      </c>
      <c r="F60" s="379">
        <f t="shared" si="0"/>
        <v>0</v>
      </c>
      <c r="G60" s="409">
        <v>6.62</v>
      </c>
      <c r="H60" s="47">
        <f t="shared" si="8"/>
        <v>0</v>
      </c>
      <c r="I60" s="377">
        <f t="shared" si="1"/>
        <v>0</v>
      </c>
      <c r="J60" s="21">
        <f t="shared" si="2"/>
        <v>617.31790369233443</v>
      </c>
      <c r="K60" s="375">
        <f t="shared" si="3"/>
        <v>617.31790369233443</v>
      </c>
      <c r="L60" s="150">
        <f>'As-Filed Schedule 4'!H60</f>
        <v>0</v>
      </c>
      <c r="M60" s="387">
        <f>SUMIFS(Adjustments!$G:$G,Adjustments!$H:$H,"4",Adjustments!$I:$I,'Schedule 4 Adjustments'!$L$14,Adjustments!$J:$J,'Schedule 4 Adjustments'!$A60)</f>
        <v>0</v>
      </c>
      <c r="N60" s="379">
        <f t="shared" si="4"/>
        <v>0</v>
      </c>
      <c r="O60" s="409">
        <v>5.4</v>
      </c>
      <c r="P60" s="47">
        <f t="shared" si="9"/>
        <v>0</v>
      </c>
      <c r="Q60" s="377">
        <f t="shared" si="5"/>
        <v>0</v>
      </c>
      <c r="R60" s="21">
        <f t="shared" si="6"/>
        <v>503.55236857078637</v>
      </c>
      <c r="S60" s="375">
        <f t="shared" si="7"/>
        <v>503.55236857078637</v>
      </c>
    </row>
    <row r="61" spans="1:19" s="22" customFormat="1" ht="43.5" x14ac:dyDescent="0.35">
      <c r="A61" s="19">
        <v>49</v>
      </c>
      <c r="B61" s="19">
        <v>99211</v>
      </c>
      <c r="C61" s="20" t="s">
        <v>345</v>
      </c>
      <c r="D61" s="116">
        <f>'As-Filed Schedule 4'!D61</f>
        <v>0</v>
      </c>
      <c r="E61" s="387">
        <f>SUMIFS(Adjustments!$G:$G,Adjustments!$H:$H,"4",Adjustments!$I:$I,'Schedule 4 Adjustments'!$D$14,Adjustments!$J:$J,'Schedule 4 Adjustments'!$A61)</f>
        <v>0</v>
      </c>
      <c r="F61" s="379">
        <f t="shared" si="0"/>
        <v>0</v>
      </c>
      <c r="G61" s="409">
        <v>0.7</v>
      </c>
      <c r="H61" s="47">
        <f t="shared" si="8"/>
        <v>0</v>
      </c>
      <c r="I61" s="377">
        <f t="shared" si="1"/>
        <v>0</v>
      </c>
      <c r="J61" s="21">
        <f t="shared" si="2"/>
        <v>65.275307036953791</v>
      </c>
      <c r="K61" s="375">
        <f t="shared" si="3"/>
        <v>65.275307036953791</v>
      </c>
      <c r="L61" s="150">
        <f>'As-Filed Schedule 4'!H61</f>
        <v>0</v>
      </c>
      <c r="M61" s="387">
        <f>SUMIFS(Adjustments!$G:$G,Adjustments!$H:$H,"4",Adjustments!$I:$I,'Schedule 4 Adjustments'!$L$14,Adjustments!$J:$J,'Schedule 4 Adjustments'!$A61)</f>
        <v>0</v>
      </c>
      <c r="N61" s="379">
        <f t="shared" si="4"/>
        <v>0</v>
      </c>
      <c r="O61" s="409">
        <v>0.26</v>
      </c>
      <c r="P61" s="47">
        <f t="shared" si="9"/>
        <v>0</v>
      </c>
      <c r="Q61" s="377">
        <f t="shared" si="5"/>
        <v>0</v>
      </c>
      <c r="R61" s="21">
        <f t="shared" si="6"/>
        <v>24.245114042297121</v>
      </c>
      <c r="S61" s="375">
        <f t="shared" si="7"/>
        <v>24.245114042297121</v>
      </c>
    </row>
    <row r="62" spans="1:19" s="22" customFormat="1" x14ac:dyDescent="0.35">
      <c r="A62" s="19">
        <v>50</v>
      </c>
      <c r="B62" s="19">
        <v>99212</v>
      </c>
      <c r="C62" s="20" t="s">
        <v>155</v>
      </c>
      <c r="D62" s="116">
        <f>'As-Filed Schedule 4'!D62</f>
        <v>0</v>
      </c>
      <c r="E62" s="387">
        <f>SUMIFS(Adjustments!$G:$G,Adjustments!$H:$H,"4",Adjustments!$I:$I,'Schedule 4 Adjustments'!$D$14,Adjustments!$J:$J,'Schedule 4 Adjustments'!$A62)</f>
        <v>0</v>
      </c>
      <c r="F62" s="379">
        <f t="shared" si="0"/>
        <v>0</v>
      </c>
      <c r="G62" s="409">
        <v>1.7</v>
      </c>
      <c r="H62" s="47">
        <f t="shared" si="8"/>
        <v>0</v>
      </c>
      <c r="I62" s="377">
        <f t="shared" si="1"/>
        <v>0</v>
      </c>
      <c r="J62" s="21">
        <f t="shared" si="2"/>
        <v>158.52574566117349</v>
      </c>
      <c r="K62" s="375">
        <f t="shared" si="3"/>
        <v>158.52574566117349</v>
      </c>
      <c r="L62" s="150">
        <f>'As-Filed Schedule 4'!H62</f>
        <v>122</v>
      </c>
      <c r="M62" s="387">
        <f>SUMIFS(Adjustments!$G:$G,Adjustments!$H:$H,"4",Adjustments!$I:$I,'Schedule 4 Adjustments'!$L$14,Adjustments!$J:$J,'Schedule 4 Adjustments'!$A62)</f>
        <v>0</v>
      </c>
      <c r="N62" s="379">
        <f t="shared" si="4"/>
        <v>122</v>
      </c>
      <c r="O62" s="409">
        <v>1.05</v>
      </c>
      <c r="P62" s="47">
        <f t="shared" si="9"/>
        <v>128.1</v>
      </c>
      <c r="Q62" s="377">
        <f t="shared" si="5"/>
        <v>128.1</v>
      </c>
      <c r="R62" s="21">
        <f t="shared" si="6"/>
        <v>97.912960555430686</v>
      </c>
      <c r="S62" s="375">
        <f t="shared" si="7"/>
        <v>97.912960555430686</v>
      </c>
    </row>
    <row r="63" spans="1:19" s="22" customFormat="1" x14ac:dyDescent="0.35">
      <c r="A63" s="19">
        <v>51</v>
      </c>
      <c r="B63" s="19">
        <v>99213</v>
      </c>
      <c r="C63" s="20" t="s">
        <v>155</v>
      </c>
      <c r="D63" s="116">
        <f>'As-Filed Schedule 4'!D63</f>
        <v>16</v>
      </c>
      <c r="E63" s="387">
        <f>SUMIFS(Adjustments!$G:$G,Adjustments!$H:$H,"4",Adjustments!$I:$I,'Schedule 4 Adjustments'!$D$14,Adjustments!$J:$J,'Schedule 4 Adjustments'!$A63)</f>
        <v>0</v>
      </c>
      <c r="F63" s="379">
        <f t="shared" si="0"/>
        <v>16</v>
      </c>
      <c r="G63" s="409">
        <v>2.73</v>
      </c>
      <c r="H63" s="47">
        <f t="shared" si="8"/>
        <v>43.68</v>
      </c>
      <c r="I63" s="377">
        <f t="shared" si="1"/>
        <v>43.68</v>
      </c>
      <c r="J63" s="21">
        <f t="shared" si="2"/>
        <v>254.57369744411977</v>
      </c>
      <c r="K63" s="375">
        <f t="shared" si="3"/>
        <v>254.57369744411977</v>
      </c>
      <c r="L63" s="150">
        <f>'As-Filed Schedule 4'!H63</f>
        <v>703</v>
      </c>
      <c r="M63" s="387">
        <f>SUMIFS(Adjustments!$G:$G,Adjustments!$H:$H,"4",Adjustments!$I:$I,'Schedule 4 Adjustments'!$L$14,Adjustments!$J:$J,'Schedule 4 Adjustments'!$A63)</f>
        <v>0</v>
      </c>
      <c r="N63" s="379">
        <f t="shared" si="4"/>
        <v>703</v>
      </c>
      <c r="O63" s="409">
        <v>1.96</v>
      </c>
      <c r="P63" s="47">
        <f t="shared" si="9"/>
        <v>1377.8799999999999</v>
      </c>
      <c r="Q63" s="377">
        <f t="shared" si="5"/>
        <v>1377.8799999999999</v>
      </c>
      <c r="R63" s="21">
        <f t="shared" si="6"/>
        <v>182.77085970347059</v>
      </c>
      <c r="S63" s="375">
        <f t="shared" si="7"/>
        <v>182.77085970347059</v>
      </c>
    </row>
    <row r="64" spans="1:19" s="22" customFormat="1" x14ac:dyDescent="0.35">
      <c r="A64" s="19">
        <v>52</v>
      </c>
      <c r="B64" s="19">
        <v>99214</v>
      </c>
      <c r="C64" s="20" t="s">
        <v>155</v>
      </c>
      <c r="D64" s="116">
        <f>'As-Filed Schedule 4'!D64</f>
        <v>126</v>
      </c>
      <c r="E64" s="387">
        <f>SUMIFS(Adjustments!$G:$G,Adjustments!$H:$H,"4",Adjustments!$I:$I,'Schedule 4 Adjustments'!$D$14,Adjustments!$J:$J,'Schedule 4 Adjustments'!$A64)</f>
        <v>0</v>
      </c>
      <c r="F64" s="379">
        <f t="shared" si="0"/>
        <v>126</v>
      </c>
      <c r="G64" s="409">
        <v>3.85</v>
      </c>
      <c r="H64" s="47">
        <f t="shared" si="8"/>
        <v>485.1</v>
      </c>
      <c r="I64" s="377">
        <f t="shared" si="1"/>
        <v>485.1</v>
      </c>
      <c r="J64" s="21">
        <f t="shared" si="2"/>
        <v>359.01418870324585</v>
      </c>
      <c r="K64" s="375">
        <f t="shared" si="3"/>
        <v>359.01418870324585</v>
      </c>
      <c r="L64" s="150">
        <f>'As-Filed Schedule 4'!H64</f>
        <v>17147</v>
      </c>
      <c r="M64" s="387">
        <f>SUMIFS(Adjustments!$G:$G,Adjustments!$H:$H,"4",Adjustments!$I:$I,'Schedule 4 Adjustments'!$L$14,Adjustments!$J:$J,'Schedule 4 Adjustments'!$A64)</f>
        <v>0</v>
      </c>
      <c r="N64" s="379">
        <f t="shared" si="4"/>
        <v>17147</v>
      </c>
      <c r="O64" s="409">
        <v>2.89</v>
      </c>
      <c r="P64" s="47">
        <f t="shared" si="9"/>
        <v>49554.83</v>
      </c>
      <c r="Q64" s="377">
        <f t="shared" si="5"/>
        <v>49554.83</v>
      </c>
      <c r="R64" s="21">
        <f t="shared" si="6"/>
        <v>269.49376762399493</v>
      </c>
      <c r="S64" s="375">
        <f t="shared" si="7"/>
        <v>269.49376762399493</v>
      </c>
    </row>
    <row r="65" spans="1:19" s="22" customFormat="1" x14ac:dyDescent="0.35">
      <c r="A65" s="19">
        <v>53</v>
      </c>
      <c r="B65" s="19">
        <v>99215</v>
      </c>
      <c r="C65" s="20" t="s">
        <v>155</v>
      </c>
      <c r="D65" s="116">
        <f>'As-Filed Schedule 4'!D65</f>
        <v>13</v>
      </c>
      <c r="E65" s="387">
        <f>SUMIFS(Adjustments!$G:$G,Adjustments!$H:$H,"4",Adjustments!$I:$I,'Schedule 4 Adjustments'!$D$14,Adjustments!$J:$J,'Schedule 4 Adjustments'!$A65)</f>
        <v>0</v>
      </c>
      <c r="F65" s="379">
        <f t="shared" si="0"/>
        <v>13</v>
      </c>
      <c r="G65" s="409">
        <v>5.42</v>
      </c>
      <c r="H65" s="47">
        <f t="shared" si="8"/>
        <v>70.459999999999994</v>
      </c>
      <c r="I65" s="377">
        <f t="shared" si="1"/>
        <v>70.459999999999994</v>
      </c>
      <c r="J65" s="21">
        <f t="shared" si="2"/>
        <v>505.41737734327074</v>
      </c>
      <c r="K65" s="375">
        <f t="shared" si="3"/>
        <v>505.41737734327074</v>
      </c>
      <c r="L65" s="150">
        <f>'As-Filed Schedule 4'!H65</f>
        <v>1163</v>
      </c>
      <c r="M65" s="387">
        <f>SUMIFS(Adjustments!$G:$G,Adjustments!$H:$H,"4",Adjustments!$I:$I,'Schedule 4 Adjustments'!$L$14,Adjustments!$J:$J,'Schedule 4 Adjustments'!$A65)</f>
        <v>0</v>
      </c>
      <c r="N65" s="379">
        <f t="shared" si="4"/>
        <v>1163</v>
      </c>
      <c r="O65" s="409">
        <v>4.29</v>
      </c>
      <c r="P65" s="47">
        <f t="shared" si="9"/>
        <v>4989.2700000000004</v>
      </c>
      <c r="Q65" s="377">
        <f t="shared" si="5"/>
        <v>4989.2700000000004</v>
      </c>
      <c r="R65" s="21">
        <f t="shared" si="6"/>
        <v>400.04438169790251</v>
      </c>
      <c r="S65" s="375">
        <f t="shared" si="7"/>
        <v>400.04438169790251</v>
      </c>
    </row>
    <row r="66" spans="1:19" s="22" customFormat="1" x14ac:dyDescent="0.35">
      <c r="A66" s="19">
        <v>54</v>
      </c>
      <c r="B66" s="19">
        <v>99221</v>
      </c>
      <c r="C66" s="20" t="s">
        <v>121</v>
      </c>
      <c r="D66" s="116">
        <f>'As-Filed Schedule 4'!D66</f>
        <v>0</v>
      </c>
      <c r="E66" s="387">
        <f>SUMIFS(Adjustments!$G:$G,Adjustments!$H:$H,"4",Adjustments!$I:$I,'Schedule 4 Adjustments'!$D$14,Adjustments!$J:$J,'Schedule 4 Adjustments'!$A66)</f>
        <v>0</v>
      </c>
      <c r="F66" s="379">
        <f t="shared" si="0"/>
        <v>0</v>
      </c>
      <c r="G66" s="409">
        <v>2.46</v>
      </c>
      <c r="H66" s="47">
        <f t="shared" si="8"/>
        <v>0</v>
      </c>
      <c r="I66" s="377">
        <f t="shared" si="1"/>
        <v>0</v>
      </c>
      <c r="J66" s="21">
        <f t="shared" si="2"/>
        <v>229.39607901558045</v>
      </c>
      <c r="K66" s="375">
        <f t="shared" si="3"/>
        <v>229.39607901558045</v>
      </c>
      <c r="L66" s="150">
        <f>'As-Filed Schedule 4'!H66</f>
        <v>0</v>
      </c>
      <c r="M66" s="387">
        <f>SUMIFS(Adjustments!$G:$G,Adjustments!$H:$H,"4",Adjustments!$I:$I,'Schedule 4 Adjustments'!$L$14,Adjustments!$J:$J,'Schedule 4 Adjustments'!$A66)</f>
        <v>0</v>
      </c>
      <c r="N66" s="379">
        <f t="shared" si="4"/>
        <v>0</v>
      </c>
      <c r="O66" s="409">
        <v>2.46</v>
      </c>
      <c r="P66" s="47">
        <f t="shared" si="9"/>
        <v>0</v>
      </c>
      <c r="Q66" s="377">
        <f t="shared" si="5"/>
        <v>0</v>
      </c>
      <c r="R66" s="21">
        <f t="shared" si="6"/>
        <v>229.39607901558045</v>
      </c>
      <c r="S66" s="375">
        <f t="shared" si="7"/>
        <v>229.39607901558045</v>
      </c>
    </row>
    <row r="67" spans="1:19" s="22" customFormat="1" x14ac:dyDescent="0.35">
      <c r="A67" s="19">
        <v>55</v>
      </c>
      <c r="B67" s="19">
        <v>99222</v>
      </c>
      <c r="C67" s="20" t="s">
        <v>122</v>
      </c>
      <c r="D67" s="116">
        <f>'As-Filed Schedule 4'!D67</f>
        <v>0</v>
      </c>
      <c r="E67" s="387">
        <f>SUMIFS(Adjustments!$G:$G,Adjustments!$H:$H,"4",Adjustments!$I:$I,'Schedule 4 Adjustments'!$D$14,Adjustments!$J:$J,'Schedule 4 Adjustments'!$A67)</f>
        <v>0</v>
      </c>
      <c r="F67" s="379">
        <f t="shared" si="0"/>
        <v>0</v>
      </c>
      <c r="G67" s="409">
        <v>3.88</v>
      </c>
      <c r="H67" s="47">
        <f t="shared" si="8"/>
        <v>0</v>
      </c>
      <c r="I67" s="377">
        <f t="shared" si="1"/>
        <v>0</v>
      </c>
      <c r="J67" s="21">
        <f t="shared" si="2"/>
        <v>361.81170186197244</v>
      </c>
      <c r="K67" s="375">
        <f t="shared" si="3"/>
        <v>361.81170186197244</v>
      </c>
      <c r="L67" s="150">
        <f>'As-Filed Schedule 4'!H67</f>
        <v>0</v>
      </c>
      <c r="M67" s="387">
        <f>SUMIFS(Adjustments!$G:$G,Adjustments!$H:$H,"4",Adjustments!$I:$I,'Schedule 4 Adjustments'!$L$14,Adjustments!$J:$J,'Schedule 4 Adjustments'!$A67)</f>
        <v>0</v>
      </c>
      <c r="N67" s="379">
        <f t="shared" si="4"/>
        <v>0</v>
      </c>
      <c r="O67" s="409">
        <v>3.88</v>
      </c>
      <c r="P67" s="47">
        <f t="shared" si="9"/>
        <v>0</v>
      </c>
      <c r="Q67" s="377">
        <f t="shared" si="5"/>
        <v>0</v>
      </c>
      <c r="R67" s="21">
        <f t="shared" si="6"/>
        <v>361.81170186197244</v>
      </c>
      <c r="S67" s="375">
        <f t="shared" si="7"/>
        <v>361.81170186197244</v>
      </c>
    </row>
    <row r="68" spans="1:19" s="22" customFormat="1" x14ac:dyDescent="0.35">
      <c r="A68" s="19">
        <v>56</v>
      </c>
      <c r="B68" s="19">
        <v>99223</v>
      </c>
      <c r="C68" s="20" t="s">
        <v>123</v>
      </c>
      <c r="D68" s="116">
        <f>'As-Filed Schedule 4'!D68</f>
        <v>0</v>
      </c>
      <c r="E68" s="387">
        <f>SUMIFS(Adjustments!$G:$G,Adjustments!$H:$H,"4",Adjustments!$I:$I,'Schedule 4 Adjustments'!$D$14,Adjustments!$J:$J,'Schedule 4 Adjustments'!$A68)</f>
        <v>0</v>
      </c>
      <c r="F68" s="379">
        <f t="shared" si="0"/>
        <v>0</v>
      </c>
      <c r="G68" s="409">
        <v>5.14</v>
      </c>
      <c r="H68" s="47">
        <f t="shared" si="8"/>
        <v>0</v>
      </c>
      <c r="I68" s="377">
        <f t="shared" si="1"/>
        <v>0</v>
      </c>
      <c r="J68" s="21">
        <f t="shared" si="2"/>
        <v>479.30725452848924</v>
      </c>
      <c r="K68" s="375">
        <f t="shared" si="3"/>
        <v>479.30725452848924</v>
      </c>
      <c r="L68" s="150">
        <f>'As-Filed Schedule 4'!H68</f>
        <v>0</v>
      </c>
      <c r="M68" s="387">
        <f>SUMIFS(Adjustments!$G:$G,Adjustments!$H:$H,"4",Adjustments!$I:$I,'Schedule 4 Adjustments'!$L$14,Adjustments!$J:$J,'Schedule 4 Adjustments'!$A68)</f>
        <v>0</v>
      </c>
      <c r="N68" s="379">
        <f t="shared" si="4"/>
        <v>0</v>
      </c>
      <c r="O68" s="409">
        <v>5.14</v>
      </c>
      <c r="P68" s="47">
        <f t="shared" si="9"/>
        <v>0</v>
      </c>
      <c r="Q68" s="377">
        <f t="shared" si="5"/>
        <v>0</v>
      </c>
      <c r="R68" s="21">
        <f t="shared" si="6"/>
        <v>479.30725452848924</v>
      </c>
      <c r="S68" s="375">
        <f t="shared" si="7"/>
        <v>479.30725452848924</v>
      </c>
    </row>
    <row r="69" spans="1:19" s="22" customFormat="1" x14ac:dyDescent="0.35">
      <c r="A69" s="19">
        <v>57</v>
      </c>
      <c r="B69" s="19">
        <v>99231</v>
      </c>
      <c r="C69" s="20" t="s">
        <v>124</v>
      </c>
      <c r="D69" s="116">
        <f>'As-Filed Schedule 4'!D69</f>
        <v>0</v>
      </c>
      <c r="E69" s="387">
        <f>SUMIFS(Adjustments!$G:$G,Adjustments!$H:$H,"4",Adjustments!$I:$I,'Schedule 4 Adjustments'!$D$14,Adjustments!$J:$J,'Schedule 4 Adjustments'!$A69)</f>
        <v>0</v>
      </c>
      <c r="F69" s="379">
        <f t="shared" si="0"/>
        <v>0</v>
      </c>
      <c r="G69" s="409">
        <v>1.47</v>
      </c>
      <c r="H69" s="47">
        <f t="shared" si="8"/>
        <v>0</v>
      </c>
      <c r="I69" s="377">
        <f t="shared" si="1"/>
        <v>0</v>
      </c>
      <c r="J69" s="21">
        <f t="shared" si="2"/>
        <v>137.07814477760294</v>
      </c>
      <c r="K69" s="375">
        <f t="shared" si="3"/>
        <v>137.07814477760294</v>
      </c>
      <c r="L69" s="150">
        <f>'As-Filed Schedule 4'!H69</f>
        <v>0</v>
      </c>
      <c r="M69" s="387">
        <f>SUMIFS(Adjustments!$G:$G,Adjustments!$H:$H,"4",Adjustments!$I:$I,'Schedule 4 Adjustments'!$L$14,Adjustments!$J:$J,'Schedule 4 Adjustments'!$A69)</f>
        <v>0</v>
      </c>
      <c r="N69" s="379">
        <f t="shared" si="4"/>
        <v>0</v>
      </c>
      <c r="O69" s="409">
        <v>1.47</v>
      </c>
      <c r="P69" s="47">
        <f t="shared" si="9"/>
        <v>0</v>
      </c>
      <c r="Q69" s="377">
        <f t="shared" si="5"/>
        <v>0</v>
      </c>
      <c r="R69" s="21">
        <f t="shared" si="6"/>
        <v>137.07814477760294</v>
      </c>
      <c r="S69" s="375">
        <f t="shared" si="7"/>
        <v>137.07814477760294</v>
      </c>
    </row>
    <row r="70" spans="1:19" s="22" customFormat="1" x14ac:dyDescent="0.35">
      <c r="A70" s="19">
        <v>58</v>
      </c>
      <c r="B70" s="19">
        <v>99232</v>
      </c>
      <c r="C70" s="20" t="s">
        <v>125</v>
      </c>
      <c r="D70" s="116">
        <f>'As-Filed Schedule 4'!D70</f>
        <v>0</v>
      </c>
      <c r="E70" s="387">
        <f>SUMIFS(Adjustments!$G:$G,Adjustments!$H:$H,"4",Adjustments!$I:$I,'Schedule 4 Adjustments'!$D$14,Adjustments!$J:$J,'Schedule 4 Adjustments'!$A70)</f>
        <v>0</v>
      </c>
      <c r="F70" s="379">
        <f t="shared" si="0"/>
        <v>0</v>
      </c>
      <c r="G70" s="409">
        <v>2.34</v>
      </c>
      <c r="H70" s="47">
        <f t="shared" si="8"/>
        <v>0</v>
      </c>
      <c r="I70" s="377">
        <f t="shared" si="1"/>
        <v>0</v>
      </c>
      <c r="J70" s="21">
        <f t="shared" si="2"/>
        <v>218.20602638067407</v>
      </c>
      <c r="K70" s="375">
        <f t="shared" si="3"/>
        <v>218.20602638067407</v>
      </c>
      <c r="L70" s="150">
        <f>'As-Filed Schedule 4'!H70</f>
        <v>0</v>
      </c>
      <c r="M70" s="387">
        <f>SUMIFS(Adjustments!$G:$G,Adjustments!$H:$H,"4",Adjustments!$I:$I,'Schedule 4 Adjustments'!$L$14,Adjustments!$J:$J,'Schedule 4 Adjustments'!$A70)</f>
        <v>0</v>
      </c>
      <c r="N70" s="379">
        <f t="shared" si="4"/>
        <v>0</v>
      </c>
      <c r="O70" s="409">
        <v>2.34</v>
      </c>
      <c r="P70" s="47">
        <f t="shared" si="9"/>
        <v>0</v>
      </c>
      <c r="Q70" s="377">
        <f t="shared" si="5"/>
        <v>0</v>
      </c>
      <c r="R70" s="21">
        <f t="shared" si="6"/>
        <v>218.20602638067407</v>
      </c>
      <c r="S70" s="375">
        <f t="shared" si="7"/>
        <v>218.20602638067407</v>
      </c>
    </row>
    <row r="71" spans="1:19" s="22" customFormat="1" x14ac:dyDescent="0.35">
      <c r="A71" s="19">
        <v>59</v>
      </c>
      <c r="B71" s="19">
        <v>99233</v>
      </c>
      <c r="C71" s="20" t="s">
        <v>126</v>
      </c>
      <c r="D71" s="116">
        <f>'As-Filed Schedule 4'!D71</f>
        <v>0</v>
      </c>
      <c r="E71" s="387">
        <f>SUMIFS(Adjustments!$G:$G,Adjustments!$H:$H,"4",Adjustments!$I:$I,'Schedule 4 Adjustments'!$D$14,Adjustments!$J:$J,'Schedule 4 Adjustments'!$A71)</f>
        <v>0</v>
      </c>
      <c r="F71" s="379">
        <f t="shared" si="0"/>
        <v>0</v>
      </c>
      <c r="G71" s="409">
        <v>3.52</v>
      </c>
      <c r="H71" s="47">
        <f t="shared" si="8"/>
        <v>0</v>
      </c>
      <c r="I71" s="377">
        <f t="shared" si="1"/>
        <v>0</v>
      </c>
      <c r="J71" s="21">
        <f t="shared" si="2"/>
        <v>328.24154395725333</v>
      </c>
      <c r="K71" s="375">
        <f t="shared" si="3"/>
        <v>328.24154395725333</v>
      </c>
      <c r="L71" s="150">
        <f>'As-Filed Schedule 4'!H71</f>
        <v>0</v>
      </c>
      <c r="M71" s="387">
        <f>SUMIFS(Adjustments!$G:$G,Adjustments!$H:$H,"4",Adjustments!$I:$I,'Schedule 4 Adjustments'!$L$14,Adjustments!$J:$J,'Schedule 4 Adjustments'!$A71)</f>
        <v>0</v>
      </c>
      <c r="N71" s="379">
        <f t="shared" si="4"/>
        <v>0</v>
      </c>
      <c r="O71" s="409">
        <v>3.52</v>
      </c>
      <c r="P71" s="47">
        <f t="shared" si="9"/>
        <v>0</v>
      </c>
      <c r="Q71" s="377">
        <f t="shared" si="5"/>
        <v>0</v>
      </c>
      <c r="R71" s="21">
        <f t="shared" si="6"/>
        <v>328.24154395725333</v>
      </c>
      <c r="S71" s="375">
        <f t="shared" si="7"/>
        <v>328.24154395725333</v>
      </c>
    </row>
    <row r="72" spans="1:19" s="22" customFormat="1" ht="29" x14ac:dyDescent="0.35">
      <c r="A72" s="19">
        <v>60</v>
      </c>
      <c r="B72" s="19">
        <v>99234</v>
      </c>
      <c r="C72" s="20" t="s">
        <v>360</v>
      </c>
      <c r="D72" s="116">
        <f>'As-Filed Schedule 4'!D72</f>
        <v>0</v>
      </c>
      <c r="E72" s="387">
        <f>SUMIFS(Adjustments!$G:$G,Adjustments!$H:$H,"4",Adjustments!$I:$I,'Schedule 4 Adjustments'!$D$14,Adjustments!$J:$J,'Schedule 4 Adjustments'!$A72)</f>
        <v>0</v>
      </c>
      <c r="F72" s="379">
        <f t="shared" si="0"/>
        <v>0</v>
      </c>
      <c r="G72" s="409">
        <v>2.9</v>
      </c>
      <c r="H72" s="47">
        <f t="shared" si="8"/>
        <v>0</v>
      </c>
      <c r="I72" s="377">
        <f t="shared" si="1"/>
        <v>0</v>
      </c>
      <c r="J72" s="21">
        <f t="shared" si="2"/>
        <v>270.42627201023714</v>
      </c>
      <c r="K72" s="375">
        <f t="shared" si="3"/>
        <v>270.42627201023714</v>
      </c>
      <c r="L72" s="150">
        <f>'As-Filed Schedule 4'!H72</f>
        <v>0</v>
      </c>
      <c r="M72" s="387">
        <f>SUMIFS(Adjustments!$G:$G,Adjustments!$H:$H,"4",Adjustments!$I:$I,'Schedule 4 Adjustments'!$L$14,Adjustments!$J:$J,'Schedule 4 Adjustments'!$A72)</f>
        <v>0</v>
      </c>
      <c r="N72" s="379">
        <f t="shared" si="4"/>
        <v>0</v>
      </c>
      <c r="O72" s="409">
        <v>2.9</v>
      </c>
      <c r="P72" s="47">
        <f t="shared" si="9"/>
        <v>0</v>
      </c>
      <c r="Q72" s="377">
        <f t="shared" si="5"/>
        <v>0</v>
      </c>
      <c r="R72" s="21">
        <f t="shared" si="6"/>
        <v>270.42627201023714</v>
      </c>
      <c r="S72" s="375">
        <f t="shared" si="7"/>
        <v>270.42627201023714</v>
      </c>
    </row>
    <row r="73" spans="1:19" s="22" customFormat="1" ht="29" x14ac:dyDescent="0.35">
      <c r="A73" s="19">
        <v>61</v>
      </c>
      <c r="B73" s="19">
        <v>99235</v>
      </c>
      <c r="C73" s="20" t="s">
        <v>361</v>
      </c>
      <c r="D73" s="116">
        <f>'As-Filed Schedule 4'!D73</f>
        <v>0</v>
      </c>
      <c r="E73" s="387">
        <f>SUMIFS(Adjustments!$G:$G,Adjustments!$H:$H,"4",Adjustments!$I:$I,'Schedule 4 Adjustments'!$D$14,Adjustments!$J:$J,'Schedule 4 Adjustments'!$A73)</f>
        <v>0</v>
      </c>
      <c r="F73" s="379">
        <f t="shared" si="0"/>
        <v>0</v>
      </c>
      <c r="G73" s="409">
        <v>4.7300000000000004</v>
      </c>
      <c r="H73" s="47">
        <f t="shared" si="8"/>
        <v>0</v>
      </c>
      <c r="I73" s="377">
        <f t="shared" si="1"/>
        <v>0</v>
      </c>
      <c r="J73" s="21">
        <f t="shared" si="2"/>
        <v>441.07457469255922</v>
      </c>
      <c r="K73" s="375">
        <f t="shared" si="3"/>
        <v>441.07457469255922</v>
      </c>
      <c r="L73" s="150">
        <f>'As-Filed Schedule 4'!H73</f>
        <v>0</v>
      </c>
      <c r="M73" s="387">
        <f>SUMIFS(Adjustments!$G:$G,Adjustments!$H:$H,"4",Adjustments!$I:$I,'Schedule 4 Adjustments'!$L$14,Adjustments!$J:$J,'Schedule 4 Adjustments'!$A73)</f>
        <v>0</v>
      </c>
      <c r="N73" s="379">
        <f t="shared" si="4"/>
        <v>0</v>
      </c>
      <c r="O73" s="409">
        <v>4.7300000000000004</v>
      </c>
      <c r="P73" s="47">
        <f t="shared" si="9"/>
        <v>0</v>
      </c>
      <c r="Q73" s="377">
        <f t="shared" si="5"/>
        <v>0</v>
      </c>
      <c r="R73" s="21">
        <f t="shared" si="6"/>
        <v>441.07457469255922</v>
      </c>
      <c r="S73" s="375">
        <f t="shared" si="7"/>
        <v>441.07457469255922</v>
      </c>
    </row>
    <row r="74" spans="1:19" s="22" customFormat="1" ht="29" x14ac:dyDescent="0.35">
      <c r="A74" s="19">
        <v>62</v>
      </c>
      <c r="B74" s="19">
        <v>99236</v>
      </c>
      <c r="C74" s="20" t="s">
        <v>362</v>
      </c>
      <c r="D74" s="116">
        <f>'As-Filed Schedule 4'!D74</f>
        <v>0</v>
      </c>
      <c r="E74" s="387">
        <f>SUMIFS(Adjustments!$G:$G,Adjustments!$H:$H,"4",Adjustments!$I:$I,'Schedule 4 Adjustments'!$D$14,Adjustments!$J:$J,'Schedule 4 Adjustments'!$A74)</f>
        <v>0</v>
      </c>
      <c r="F74" s="379">
        <f t="shared" si="0"/>
        <v>0</v>
      </c>
      <c r="G74" s="409">
        <v>6.18</v>
      </c>
      <c r="H74" s="47">
        <f t="shared" si="8"/>
        <v>0</v>
      </c>
      <c r="I74" s="377">
        <f t="shared" si="1"/>
        <v>0</v>
      </c>
      <c r="J74" s="21">
        <f t="shared" si="2"/>
        <v>576.28771069767765</v>
      </c>
      <c r="K74" s="375">
        <f t="shared" si="3"/>
        <v>576.28771069767765</v>
      </c>
      <c r="L74" s="150">
        <f>'As-Filed Schedule 4'!H74</f>
        <v>0</v>
      </c>
      <c r="M74" s="387">
        <f>SUMIFS(Adjustments!$G:$G,Adjustments!$H:$H,"4",Adjustments!$I:$I,'Schedule 4 Adjustments'!$L$14,Adjustments!$J:$J,'Schedule 4 Adjustments'!$A74)</f>
        <v>0</v>
      </c>
      <c r="N74" s="379">
        <f t="shared" si="4"/>
        <v>0</v>
      </c>
      <c r="O74" s="409">
        <v>6.18</v>
      </c>
      <c r="P74" s="47">
        <f t="shared" si="9"/>
        <v>0</v>
      </c>
      <c r="Q74" s="377">
        <f t="shared" si="5"/>
        <v>0</v>
      </c>
      <c r="R74" s="21">
        <f t="shared" si="6"/>
        <v>576.28771069767765</v>
      </c>
      <c r="S74" s="375">
        <f t="shared" si="7"/>
        <v>576.28771069767765</v>
      </c>
    </row>
    <row r="75" spans="1:19" s="22" customFormat="1" x14ac:dyDescent="0.35">
      <c r="A75" s="19">
        <v>63</v>
      </c>
      <c r="B75" s="19">
        <v>99238</v>
      </c>
      <c r="C75" s="20" t="s">
        <v>346</v>
      </c>
      <c r="D75" s="116">
        <f>'As-Filed Schedule 4'!D75</f>
        <v>0</v>
      </c>
      <c r="E75" s="387">
        <f>SUMIFS(Adjustments!$G:$G,Adjustments!$H:$H,"4",Adjustments!$I:$I,'Schedule 4 Adjustments'!$D$14,Adjustments!$J:$J,'Schedule 4 Adjustments'!$A75)</f>
        <v>0</v>
      </c>
      <c r="F75" s="379">
        <f t="shared" si="0"/>
        <v>0</v>
      </c>
      <c r="G75" s="409">
        <v>2.41</v>
      </c>
      <c r="H75" s="47">
        <f t="shared" si="8"/>
        <v>0</v>
      </c>
      <c r="I75" s="377">
        <f t="shared" si="1"/>
        <v>0</v>
      </c>
      <c r="J75" s="21">
        <f t="shared" si="2"/>
        <v>224.73355708436949</v>
      </c>
      <c r="K75" s="375">
        <f t="shared" si="3"/>
        <v>224.73355708436949</v>
      </c>
      <c r="L75" s="150">
        <f>'As-Filed Schedule 4'!H75</f>
        <v>0</v>
      </c>
      <c r="M75" s="387">
        <f>SUMIFS(Adjustments!$G:$G,Adjustments!$H:$H,"4",Adjustments!$I:$I,'Schedule 4 Adjustments'!$L$14,Adjustments!$J:$J,'Schedule 4 Adjustments'!$A75)</f>
        <v>0</v>
      </c>
      <c r="N75" s="379">
        <f t="shared" si="4"/>
        <v>0</v>
      </c>
      <c r="O75" s="409">
        <v>2.41</v>
      </c>
      <c r="P75" s="47">
        <f t="shared" si="9"/>
        <v>0</v>
      </c>
      <c r="Q75" s="377">
        <f t="shared" si="5"/>
        <v>0</v>
      </c>
      <c r="R75" s="21">
        <f t="shared" si="6"/>
        <v>224.73355708436949</v>
      </c>
      <c r="S75" s="375">
        <f t="shared" si="7"/>
        <v>224.73355708436949</v>
      </c>
    </row>
    <row r="76" spans="1:19" s="22" customFormat="1" x14ac:dyDescent="0.35">
      <c r="A76" s="19">
        <v>64</v>
      </c>
      <c r="B76" s="19">
        <v>99239</v>
      </c>
      <c r="C76" s="20" t="s">
        <v>127</v>
      </c>
      <c r="D76" s="116">
        <f>'As-Filed Schedule 4'!D76</f>
        <v>0</v>
      </c>
      <c r="E76" s="387">
        <f>SUMIFS(Adjustments!$G:$G,Adjustments!$H:$H,"4",Adjustments!$I:$I,'Schedule 4 Adjustments'!$D$14,Adjustments!$J:$J,'Schedule 4 Adjustments'!$A76)</f>
        <v>0</v>
      </c>
      <c r="F76" s="379">
        <f t="shared" si="0"/>
        <v>0</v>
      </c>
      <c r="G76" s="409">
        <v>3.4</v>
      </c>
      <c r="H76" s="47">
        <f t="shared" si="8"/>
        <v>0</v>
      </c>
      <c r="I76" s="377">
        <f t="shared" si="1"/>
        <v>0</v>
      </c>
      <c r="J76" s="21">
        <f t="shared" si="2"/>
        <v>317.05149132234698</v>
      </c>
      <c r="K76" s="375">
        <f t="shared" si="3"/>
        <v>317.05149132234698</v>
      </c>
      <c r="L76" s="150">
        <f>'As-Filed Schedule 4'!H76</f>
        <v>0</v>
      </c>
      <c r="M76" s="387">
        <f>SUMIFS(Adjustments!$G:$G,Adjustments!$H:$H,"4",Adjustments!$I:$I,'Schedule 4 Adjustments'!$L$14,Adjustments!$J:$J,'Schedule 4 Adjustments'!$A76)</f>
        <v>0</v>
      </c>
      <c r="N76" s="379">
        <f t="shared" si="4"/>
        <v>0</v>
      </c>
      <c r="O76" s="409">
        <v>3.4</v>
      </c>
      <c r="P76" s="47">
        <f t="shared" si="9"/>
        <v>0</v>
      </c>
      <c r="Q76" s="377">
        <f t="shared" si="5"/>
        <v>0</v>
      </c>
      <c r="R76" s="21">
        <f t="shared" si="6"/>
        <v>317.05149132234698</v>
      </c>
      <c r="S76" s="375">
        <f t="shared" si="7"/>
        <v>317.05149132234698</v>
      </c>
    </row>
    <row r="77" spans="1:19" s="22" customFormat="1" x14ac:dyDescent="0.35">
      <c r="A77" s="19">
        <v>65</v>
      </c>
      <c r="B77" s="19">
        <v>99242</v>
      </c>
      <c r="C77" s="20" t="s">
        <v>347</v>
      </c>
      <c r="D77" s="116">
        <f>'As-Filed Schedule 4'!D77</f>
        <v>0</v>
      </c>
      <c r="E77" s="387">
        <f>SUMIFS(Adjustments!$G:$G,Adjustments!$H:$H,"4",Adjustments!$I:$I,'Schedule 4 Adjustments'!$D$14,Adjustments!$J:$J,'Schedule 4 Adjustments'!$A77)</f>
        <v>0</v>
      </c>
      <c r="F77" s="379">
        <f t="shared" si="0"/>
        <v>0</v>
      </c>
      <c r="G77" s="409">
        <v>2.25</v>
      </c>
      <c r="H77" s="148">
        <f t="shared" si="8"/>
        <v>0</v>
      </c>
      <c r="I77" s="377">
        <f t="shared" si="1"/>
        <v>0</v>
      </c>
      <c r="J77" s="149">
        <f t="shared" si="2"/>
        <v>209.81348690449431</v>
      </c>
      <c r="K77" s="375">
        <f t="shared" si="3"/>
        <v>209.81348690449431</v>
      </c>
      <c r="L77" s="150">
        <f>'As-Filed Schedule 4'!H77</f>
        <v>1</v>
      </c>
      <c r="M77" s="387">
        <f>SUMIFS(Adjustments!$G:$G,Adjustments!$H:$H,"4",Adjustments!$I:$I,'Schedule 4 Adjustments'!$L$14,Adjustments!$J:$J,'Schedule 4 Adjustments'!$A77)</f>
        <v>0</v>
      </c>
      <c r="N77" s="379">
        <f t="shared" si="4"/>
        <v>1</v>
      </c>
      <c r="O77" s="409">
        <v>1.66</v>
      </c>
      <c r="P77" s="47">
        <f t="shared" si="9"/>
        <v>1.66</v>
      </c>
      <c r="Q77" s="377">
        <f t="shared" si="5"/>
        <v>1.66</v>
      </c>
      <c r="R77" s="21">
        <f t="shared" si="6"/>
        <v>154.79572811620469</v>
      </c>
      <c r="S77" s="375">
        <f t="shared" si="7"/>
        <v>154.79572811620469</v>
      </c>
    </row>
    <row r="78" spans="1:19" s="22" customFormat="1" x14ac:dyDescent="0.35">
      <c r="A78" s="19">
        <v>66</v>
      </c>
      <c r="B78" s="19">
        <v>99243</v>
      </c>
      <c r="C78" s="20" t="s">
        <v>348</v>
      </c>
      <c r="D78" s="116">
        <f>'As-Filed Schedule 4'!D78</f>
        <v>0</v>
      </c>
      <c r="E78" s="387">
        <f>SUMIFS(Adjustments!$G:$G,Adjustments!$H:$H,"4",Adjustments!$I:$I,'Schedule 4 Adjustments'!$D$14,Adjustments!$J:$J,'Schedule 4 Adjustments'!$A78)</f>
        <v>0</v>
      </c>
      <c r="F78" s="379">
        <f t="shared" si="0"/>
        <v>0</v>
      </c>
      <c r="G78" s="409">
        <v>3.37</v>
      </c>
      <c r="H78" s="47">
        <f t="shared" si="8"/>
        <v>0</v>
      </c>
      <c r="I78" s="377">
        <f t="shared" si="1"/>
        <v>0</v>
      </c>
      <c r="J78" s="21">
        <f t="shared" si="2"/>
        <v>314.25397816362039</v>
      </c>
      <c r="K78" s="375">
        <f t="shared" si="3"/>
        <v>314.25397816362039</v>
      </c>
      <c r="L78" s="150">
        <f>'As-Filed Schedule 4'!H78</f>
        <v>0</v>
      </c>
      <c r="M78" s="387">
        <f>SUMIFS(Adjustments!$G:$G,Adjustments!$H:$H,"4",Adjustments!$I:$I,'Schedule 4 Adjustments'!$L$14,Adjustments!$J:$J,'Schedule 4 Adjustments'!$A78)</f>
        <v>0</v>
      </c>
      <c r="N78" s="379">
        <f t="shared" si="4"/>
        <v>0</v>
      </c>
      <c r="O78" s="409">
        <v>2.62</v>
      </c>
      <c r="P78" s="47">
        <f t="shared" si="9"/>
        <v>0</v>
      </c>
      <c r="Q78" s="377">
        <f t="shared" si="5"/>
        <v>0</v>
      </c>
      <c r="R78" s="21">
        <f t="shared" si="6"/>
        <v>244.31614919545561</v>
      </c>
      <c r="S78" s="375">
        <f t="shared" si="7"/>
        <v>244.31614919545561</v>
      </c>
    </row>
    <row r="79" spans="1:19" s="22" customFormat="1" x14ac:dyDescent="0.35">
      <c r="A79" s="19">
        <v>67</v>
      </c>
      <c r="B79" s="19">
        <v>99244</v>
      </c>
      <c r="C79" s="20" t="s">
        <v>349</v>
      </c>
      <c r="D79" s="116">
        <f>'As-Filed Schedule 4'!D79</f>
        <v>0</v>
      </c>
      <c r="E79" s="387">
        <f>SUMIFS(Adjustments!$G:$G,Adjustments!$H:$H,"4",Adjustments!$I:$I,'Schedule 4 Adjustments'!$D$14,Adjustments!$J:$J,'Schedule 4 Adjustments'!$A79)</f>
        <v>0</v>
      </c>
      <c r="F79" s="379">
        <f t="shared" si="0"/>
        <v>0</v>
      </c>
      <c r="G79" s="409">
        <v>4.8099999999999996</v>
      </c>
      <c r="H79" s="47">
        <f t="shared" si="8"/>
        <v>0</v>
      </c>
      <c r="I79" s="377">
        <f t="shared" si="1"/>
        <v>0</v>
      </c>
      <c r="J79" s="21">
        <f t="shared" si="2"/>
        <v>448.53460978249672</v>
      </c>
      <c r="K79" s="375">
        <f t="shared" si="3"/>
        <v>448.53460978249672</v>
      </c>
      <c r="L79" s="150">
        <f>'As-Filed Schedule 4'!H79</f>
        <v>2</v>
      </c>
      <c r="M79" s="387">
        <f>SUMIFS(Adjustments!$G:$G,Adjustments!$H:$H,"4",Adjustments!$I:$I,'Schedule 4 Adjustments'!$L$14,Adjustments!$J:$J,'Schedule 4 Adjustments'!$A79)</f>
        <v>0</v>
      </c>
      <c r="N79" s="379">
        <f t="shared" si="4"/>
        <v>2</v>
      </c>
      <c r="O79" s="409">
        <v>3.99</v>
      </c>
      <c r="P79" s="47">
        <f t="shared" si="9"/>
        <v>7.98</v>
      </c>
      <c r="Q79" s="377">
        <f t="shared" si="5"/>
        <v>7.98</v>
      </c>
      <c r="R79" s="21">
        <f t="shared" si="6"/>
        <v>372.06925011063663</v>
      </c>
      <c r="S79" s="375">
        <f t="shared" si="7"/>
        <v>372.06925011063663</v>
      </c>
    </row>
    <row r="80" spans="1:19" s="22" customFormat="1" x14ac:dyDescent="0.35">
      <c r="A80" s="19">
        <v>68</v>
      </c>
      <c r="B80" s="19">
        <v>99245</v>
      </c>
      <c r="C80" s="20" t="s">
        <v>350</v>
      </c>
      <c r="D80" s="116">
        <f>'As-Filed Schedule 4'!D80</f>
        <v>0</v>
      </c>
      <c r="E80" s="387">
        <f>SUMIFS(Adjustments!$G:$G,Adjustments!$H:$H,"4",Adjustments!$I:$I,'Schedule 4 Adjustments'!$D$14,Adjustments!$J:$J,'Schedule 4 Adjustments'!$A80)</f>
        <v>0</v>
      </c>
      <c r="F80" s="379">
        <f t="shared" si="0"/>
        <v>0</v>
      </c>
      <c r="G80" s="409">
        <v>6.28</v>
      </c>
      <c r="H80" s="47">
        <f t="shared" si="8"/>
        <v>0</v>
      </c>
      <c r="I80" s="377">
        <f t="shared" si="1"/>
        <v>0</v>
      </c>
      <c r="J80" s="21">
        <f t="shared" si="2"/>
        <v>585.61275456009969</v>
      </c>
      <c r="K80" s="375">
        <f t="shared" si="3"/>
        <v>585.61275456009969</v>
      </c>
      <c r="L80" s="150">
        <f>'As-Filed Schedule 4'!H80</f>
        <v>1</v>
      </c>
      <c r="M80" s="387">
        <f>SUMIFS(Adjustments!$G:$G,Adjustments!$H:$H,"4",Adjustments!$I:$I,'Schedule 4 Adjustments'!$L$14,Adjustments!$J:$J,'Schedule 4 Adjustments'!$A80)</f>
        <v>0</v>
      </c>
      <c r="N80" s="379">
        <f t="shared" si="4"/>
        <v>1</v>
      </c>
      <c r="O80" s="409">
        <v>5.36</v>
      </c>
      <c r="P80" s="47">
        <f t="shared" si="9"/>
        <v>5.36</v>
      </c>
      <c r="Q80" s="377">
        <f t="shared" si="5"/>
        <v>5.36</v>
      </c>
      <c r="R80" s="21">
        <f t="shared" si="6"/>
        <v>499.82235102581762</v>
      </c>
      <c r="S80" s="375">
        <f t="shared" si="7"/>
        <v>499.82235102581762</v>
      </c>
    </row>
    <row r="81" spans="1:19" s="22" customFormat="1" x14ac:dyDescent="0.35">
      <c r="A81" s="19">
        <v>69</v>
      </c>
      <c r="B81" s="19">
        <v>99252</v>
      </c>
      <c r="C81" s="20" t="s">
        <v>351</v>
      </c>
      <c r="D81" s="116">
        <f>'As-Filed Schedule 4'!D81</f>
        <v>0</v>
      </c>
      <c r="E81" s="387">
        <f>SUMIFS(Adjustments!$G:$G,Adjustments!$H:$H,"4",Adjustments!$I:$I,'Schedule 4 Adjustments'!$D$14,Adjustments!$J:$J,'Schedule 4 Adjustments'!$A81)</f>
        <v>0</v>
      </c>
      <c r="F81" s="379">
        <f t="shared" si="0"/>
        <v>0</v>
      </c>
      <c r="G81" s="409">
        <v>2.11</v>
      </c>
      <c r="H81" s="47">
        <f t="shared" si="8"/>
        <v>0</v>
      </c>
      <c r="I81" s="377">
        <f t="shared" si="1"/>
        <v>0</v>
      </c>
      <c r="J81" s="21">
        <f t="shared" si="2"/>
        <v>196.75842549710356</v>
      </c>
      <c r="K81" s="375">
        <f t="shared" si="3"/>
        <v>196.75842549710356</v>
      </c>
      <c r="L81" s="150">
        <f>'As-Filed Schedule 4'!H81</f>
        <v>0</v>
      </c>
      <c r="M81" s="387">
        <f>SUMIFS(Adjustments!$G:$G,Adjustments!$H:$H,"4",Adjustments!$I:$I,'Schedule 4 Adjustments'!$L$14,Adjustments!$J:$J,'Schedule 4 Adjustments'!$A81)</f>
        <v>0</v>
      </c>
      <c r="N81" s="379">
        <f t="shared" si="4"/>
        <v>0</v>
      </c>
      <c r="O81" s="409">
        <v>2.11</v>
      </c>
      <c r="P81" s="47">
        <f t="shared" si="9"/>
        <v>0</v>
      </c>
      <c r="Q81" s="377">
        <f t="shared" si="5"/>
        <v>0</v>
      </c>
      <c r="R81" s="21">
        <f t="shared" si="6"/>
        <v>196.75842549710356</v>
      </c>
      <c r="S81" s="375">
        <f t="shared" si="7"/>
        <v>196.75842549710356</v>
      </c>
    </row>
    <row r="82" spans="1:19" s="22" customFormat="1" x14ac:dyDescent="0.35">
      <c r="A82" s="19">
        <v>70</v>
      </c>
      <c r="B82" s="19">
        <v>99253</v>
      </c>
      <c r="C82" s="20" t="s">
        <v>352</v>
      </c>
      <c r="D82" s="116">
        <f>'As-Filed Schedule 4'!D82</f>
        <v>0</v>
      </c>
      <c r="E82" s="387">
        <f>SUMIFS(Adjustments!$G:$G,Adjustments!$H:$H,"4",Adjustments!$I:$I,'Schedule 4 Adjustments'!$D$14,Adjustments!$J:$J,'Schedule 4 Adjustments'!$A82)</f>
        <v>0</v>
      </c>
      <c r="F82" s="379">
        <f t="shared" si="0"/>
        <v>0</v>
      </c>
      <c r="G82" s="409">
        <v>2.96</v>
      </c>
      <c r="H82" s="47">
        <f t="shared" si="8"/>
        <v>0</v>
      </c>
      <c r="I82" s="377">
        <f t="shared" si="1"/>
        <v>0</v>
      </c>
      <c r="J82" s="21">
        <f t="shared" ref="J82:J145" si="10">G82*$H$12</f>
        <v>276.02129832769032</v>
      </c>
      <c r="K82" s="375">
        <f t="shared" si="3"/>
        <v>276.02129832769032</v>
      </c>
      <c r="L82" s="150">
        <f>'As-Filed Schedule 4'!H82</f>
        <v>0</v>
      </c>
      <c r="M82" s="387">
        <f>SUMIFS(Adjustments!$G:$G,Adjustments!$H:$H,"4",Adjustments!$I:$I,'Schedule 4 Adjustments'!$L$14,Adjustments!$J:$J,'Schedule 4 Adjustments'!$A82)</f>
        <v>0</v>
      </c>
      <c r="N82" s="379">
        <f t="shared" si="4"/>
        <v>0</v>
      </c>
      <c r="O82" s="409">
        <v>2.96</v>
      </c>
      <c r="P82" s="47">
        <f t="shared" si="9"/>
        <v>0</v>
      </c>
      <c r="Q82" s="377">
        <f t="shared" si="5"/>
        <v>0</v>
      </c>
      <c r="R82" s="21">
        <f t="shared" ref="R82:R145" si="11">O82*$H$12</f>
        <v>276.02129832769032</v>
      </c>
      <c r="S82" s="375">
        <f t="shared" si="7"/>
        <v>276.02129832769032</v>
      </c>
    </row>
    <row r="83" spans="1:19" s="22" customFormat="1" x14ac:dyDescent="0.35">
      <c r="A83" s="19">
        <v>71</v>
      </c>
      <c r="B83" s="19">
        <v>99254</v>
      </c>
      <c r="C83" s="20" t="s">
        <v>353</v>
      </c>
      <c r="D83" s="116">
        <f>'As-Filed Schedule 4'!D83</f>
        <v>0</v>
      </c>
      <c r="E83" s="387">
        <f>SUMIFS(Adjustments!$G:$G,Adjustments!$H:$H,"4",Adjustments!$I:$I,'Schedule 4 Adjustments'!$D$14,Adjustments!$J:$J,'Schedule 4 Adjustments'!$A83)</f>
        <v>0</v>
      </c>
      <c r="F83" s="379">
        <f t="shared" ref="F83:F146" si="12">SUM(D83:E83)</f>
        <v>0</v>
      </c>
      <c r="G83" s="409">
        <v>4.1100000000000003</v>
      </c>
      <c r="H83" s="47">
        <f t="shared" si="8"/>
        <v>0</v>
      </c>
      <c r="I83" s="377">
        <f t="shared" ref="I83:I146" si="13">F83*G83</f>
        <v>0</v>
      </c>
      <c r="J83" s="21">
        <f t="shared" si="10"/>
        <v>383.25930274554298</v>
      </c>
      <c r="K83" s="375">
        <f t="shared" ref="K83:K146" si="14">G83*$I$12</f>
        <v>383.25930274554298</v>
      </c>
      <c r="L83" s="150">
        <f>'As-Filed Schedule 4'!H83</f>
        <v>0</v>
      </c>
      <c r="M83" s="387">
        <f>SUMIFS(Adjustments!$G:$G,Adjustments!$H:$H,"4",Adjustments!$I:$I,'Schedule 4 Adjustments'!$L$14,Adjustments!$J:$J,'Schedule 4 Adjustments'!$A83)</f>
        <v>0</v>
      </c>
      <c r="N83" s="379">
        <f t="shared" ref="N83:N146" si="15">SUM(L83:M83)</f>
        <v>0</v>
      </c>
      <c r="O83" s="409">
        <v>4.1100000000000003</v>
      </c>
      <c r="P83" s="47">
        <f t="shared" ref="P83:P146" si="16">L83*O83</f>
        <v>0</v>
      </c>
      <c r="Q83" s="377">
        <f t="shared" ref="Q83:Q146" si="17">N83*O83</f>
        <v>0</v>
      </c>
      <c r="R83" s="21">
        <f t="shared" si="11"/>
        <v>383.25930274554298</v>
      </c>
      <c r="S83" s="375">
        <f t="shared" ref="S83:S146" si="18">O83*$I$12</f>
        <v>383.25930274554298</v>
      </c>
    </row>
    <row r="84" spans="1:19" s="22" customFormat="1" x14ac:dyDescent="0.35">
      <c r="A84" s="19">
        <v>72</v>
      </c>
      <c r="B84" s="19">
        <v>99255</v>
      </c>
      <c r="C84" s="20" t="s">
        <v>354</v>
      </c>
      <c r="D84" s="116">
        <f>'As-Filed Schedule 4'!D84</f>
        <v>0</v>
      </c>
      <c r="E84" s="387">
        <f>SUMIFS(Adjustments!$G:$G,Adjustments!$H:$H,"4",Adjustments!$I:$I,'Schedule 4 Adjustments'!$D$14,Adjustments!$J:$J,'Schedule 4 Adjustments'!$A84)</f>
        <v>0</v>
      </c>
      <c r="F84" s="379">
        <f t="shared" si="12"/>
        <v>0</v>
      </c>
      <c r="G84" s="409">
        <v>5.53</v>
      </c>
      <c r="H84" s="47">
        <f t="shared" ref="H84:H147" si="19">D84*G84</f>
        <v>0</v>
      </c>
      <c r="I84" s="377">
        <f t="shared" si="13"/>
        <v>0</v>
      </c>
      <c r="J84" s="21">
        <f t="shared" si="10"/>
        <v>515.67492559193499</v>
      </c>
      <c r="K84" s="375">
        <f t="shared" si="14"/>
        <v>515.67492559193499</v>
      </c>
      <c r="L84" s="150">
        <f>'As-Filed Schedule 4'!H84</f>
        <v>0</v>
      </c>
      <c r="M84" s="387">
        <f>SUMIFS(Adjustments!$G:$G,Adjustments!$H:$H,"4",Adjustments!$I:$I,'Schedule 4 Adjustments'!$L$14,Adjustments!$J:$J,'Schedule 4 Adjustments'!$A84)</f>
        <v>0</v>
      </c>
      <c r="N84" s="379">
        <f t="shared" si="15"/>
        <v>0</v>
      </c>
      <c r="O84" s="409">
        <v>5.53</v>
      </c>
      <c r="P84" s="47">
        <f t="shared" si="16"/>
        <v>0</v>
      </c>
      <c r="Q84" s="377">
        <f t="shared" si="17"/>
        <v>0</v>
      </c>
      <c r="R84" s="21">
        <f t="shared" si="11"/>
        <v>515.67492559193499</v>
      </c>
      <c r="S84" s="375">
        <f t="shared" si="18"/>
        <v>515.67492559193499</v>
      </c>
    </row>
    <row r="85" spans="1:19" s="22" customFormat="1" x14ac:dyDescent="0.35">
      <c r="A85" s="19">
        <v>73</v>
      </c>
      <c r="B85" s="19">
        <v>99281</v>
      </c>
      <c r="C85" s="20" t="s">
        <v>355</v>
      </c>
      <c r="D85" s="116">
        <f>'As-Filed Schedule 4'!D85</f>
        <v>0</v>
      </c>
      <c r="E85" s="387">
        <f>SUMIFS(Adjustments!$G:$G,Adjustments!$H:$H,"4",Adjustments!$I:$I,'Schedule 4 Adjustments'!$D$14,Adjustments!$J:$J,'Schedule 4 Adjustments'!$A85)</f>
        <v>0</v>
      </c>
      <c r="F85" s="379">
        <f t="shared" si="12"/>
        <v>0</v>
      </c>
      <c r="G85" s="409">
        <v>0.34</v>
      </c>
      <c r="H85" s="47">
        <f t="shared" si="19"/>
        <v>0</v>
      </c>
      <c r="I85" s="377">
        <f t="shared" si="13"/>
        <v>0</v>
      </c>
      <c r="J85" s="21">
        <f t="shared" si="10"/>
        <v>31.705149132234698</v>
      </c>
      <c r="K85" s="375">
        <f t="shared" si="14"/>
        <v>31.705149132234698</v>
      </c>
      <c r="L85" s="150">
        <f>'As-Filed Schedule 4'!H85</f>
        <v>0</v>
      </c>
      <c r="M85" s="387">
        <f>SUMIFS(Adjustments!$G:$G,Adjustments!$H:$H,"4",Adjustments!$I:$I,'Schedule 4 Adjustments'!$L$14,Adjustments!$J:$J,'Schedule 4 Adjustments'!$A85)</f>
        <v>0</v>
      </c>
      <c r="N85" s="379">
        <f t="shared" si="15"/>
        <v>0</v>
      </c>
      <c r="O85" s="409">
        <v>0.34</v>
      </c>
      <c r="P85" s="47">
        <f t="shared" si="16"/>
        <v>0</v>
      </c>
      <c r="Q85" s="377">
        <f t="shared" si="17"/>
        <v>0</v>
      </c>
      <c r="R85" s="21">
        <f t="shared" si="11"/>
        <v>31.705149132234698</v>
      </c>
      <c r="S85" s="375">
        <f t="shared" si="18"/>
        <v>31.705149132234698</v>
      </c>
    </row>
    <row r="86" spans="1:19" s="22" customFormat="1" x14ac:dyDescent="0.35">
      <c r="A86" s="19">
        <v>74</v>
      </c>
      <c r="B86" s="19">
        <v>99282</v>
      </c>
      <c r="C86" s="20" t="s">
        <v>356</v>
      </c>
      <c r="D86" s="116">
        <f>'As-Filed Schedule 4'!D86</f>
        <v>0</v>
      </c>
      <c r="E86" s="387">
        <f>SUMIFS(Adjustments!$G:$G,Adjustments!$H:$H,"4",Adjustments!$I:$I,'Schedule 4 Adjustments'!$D$14,Adjustments!$J:$J,'Schedule 4 Adjustments'!$A86)</f>
        <v>0</v>
      </c>
      <c r="F86" s="379">
        <f t="shared" si="12"/>
        <v>0</v>
      </c>
      <c r="G86" s="409">
        <v>1.24</v>
      </c>
      <c r="H86" s="47">
        <f t="shared" si="19"/>
        <v>0</v>
      </c>
      <c r="I86" s="377">
        <f t="shared" si="13"/>
        <v>0</v>
      </c>
      <c r="J86" s="21">
        <f t="shared" si="10"/>
        <v>115.63054389403243</v>
      </c>
      <c r="K86" s="375">
        <f t="shared" si="14"/>
        <v>115.63054389403243</v>
      </c>
      <c r="L86" s="150">
        <f>'As-Filed Schedule 4'!H86</f>
        <v>0</v>
      </c>
      <c r="M86" s="387">
        <f>SUMIFS(Adjustments!$G:$G,Adjustments!$H:$H,"4",Adjustments!$I:$I,'Schedule 4 Adjustments'!$L$14,Adjustments!$J:$J,'Schedule 4 Adjustments'!$A86)</f>
        <v>0</v>
      </c>
      <c r="N86" s="379">
        <f t="shared" si="15"/>
        <v>0</v>
      </c>
      <c r="O86" s="409">
        <v>1.24</v>
      </c>
      <c r="P86" s="47">
        <f t="shared" si="16"/>
        <v>0</v>
      </c>
      <c r="Q86" s="377">
        <f t="shared" si="17"/>
        <v>0</v>
      </c>
      <c r="R86" s="21">
        <f t="shared" si="11"/>
        <v>115.63054389403243</v>
      </c>
      <c r="S86" s="375">
        <f t="shared" si="18"/>
        <v>115.63054389403243</v>
      </c>
    </row>
    <row r="87" spans="1:19" s="22" customFormat="1" x14ac:dyDescent="0.35">
      <c r="A87" s="19">
        <v>75</v>
      </c>
      <c r="B87" s="19">
        <v>99283</v>
      </c>
      <c r="C87" s="20" t="s">
        <v>357</v>
      </c>
      <c r="D87" s="116">
        <f>'As-Filed Schedule 4'!D87</f>
        <v>0</v>
      </c>
      <c r="E87" s="387">
        <f>SUMIFS(Adjustments!$G:$G,Adjustments!$H:$H,"4",Adjustments!$I:$I,'Schedule 4 Adjustments'!$D$14,Adjustments!$J:$J,'Schedule 4 Adjustments'!$A87)</f>
        <v>0</v>
      </c>
      <c r="F87" s="379">
        <f t="shared" si="12"/>
        <v>0</v>
      </c>
      <c r="G87" s="409">
        <v>2.11</v>
      </c>
      <c r="H87" s="47">
        <f t="shared" si="19"/>
        <v>0</v>
      </c>
      <c r="I87" s="377">
        <f t="shared" si="13"/>
        <v>0</v>
      </c>
      <c r="J87" s="21">
        <f t="shared" si="10"/>
        <v>196.75842549710356</v>
      </c>
      <c r="K87" s="375">
        <f t="shared" si="14"/>
        <v>196.75842549710356</v>
      </c>
      <c r="L87" s="150">
        <f>'As-Filed Schedule 4'!H87</f>
        <v>0</v>
      </c>
      <c r="M87" s="387">
        <f>SUMIFS(Adjustments!$G:$G,Adjustments!$H:$H,"4",Adjustments!$I:$I,'Schedule 4 Adjustments'!$L$14,Adjustments!$J:$J,'Schedule 4 Adjustments'!$A87)</f>
        <v>0</v>
      </c>
      <c r="N87" s="379">
        <f t="shared" si="15"/>
        <v>0</v>
      </c>
      <c r="O87" s="409">
        <v>2.11</v>
      </c>
      <c r="P87" s="47">
        <f t="shared" si="16"/>
        <v>0</v>
      </c>
      <c r="Q87" s="377">
        <f t="shared" si="17"/>
        <v>0</v>
      </c>
      <c r="R87" s="21">
        <f t="shared" si="11"/>
        <v>196.75842549710356</v>
      </c>
      <c r="S87" s="375">
        <f t="shared" si="18"/>
        <v>196.75842549710356</v>
      </c>
    </row>
    <row r="88" spans="1:19" s="22" customFormat="1" x14ac:dyDescent="0.35">
      <c r="A88" s="19">
        <v>76</v>
      </c>
      <c r="B88" s="19">
        <v>99284</v>
      </c>
      <c r="C88" s="20" t="s">
        <v>358</v>
      </c>
      <c r="D88" s="116">
        <f>'As-Filed Schedule 4'!D88</f>
        <v>0</v>
      </c>
      <c r="E88" s="387">
        <f>SUMIFS(Adjustments!$G:$G,Adjustments!$H:$H,"4",Adjustments!$I:$I,'Schedule 4 Adjustments'!$D$14,Adjustments!$J:$J,'Schedule 4 Adjustments'!$A88)</f>
        <v>0</v>
      </c>
      <c r="F88" s="379">
        <f t="shared" si="12"/>
        <v>0</v>
      </c>
      <c r="G88" s="409">
        <v>3.59</v>
      </c>
      <c r="H88" s="47">
        <f t="shared" si="19"/>
        <v>0</v>
      </c>
      <c r="I88" s="377">
        <f t="shared" si="13"/>
        <v>0</v>
      </c>
      <c r="J88" s="21">
        <f t="shared" si="10"/>
        <v>334.76907466094872</v>
      </c>
      <c r="K88" s="375">
        <f t="shared" si="14"/>
        <v>334.76907466094872</v>
      </c>
      <c r="L88" s="150">
        <f>'As-Filed Schedule 4'!H88</f>
        <v>0</v>
      </c>
      <c r="M88" s="387">
        <f>SUMIFS(Adjustments!$G:$G,Adjustments!$H:$H,"4",Adjustments!$I:$I,'Schedule 4 Adjustments'!$L$14,Adjustments!$J:$J,'Schedule 4 Adjustments'!$A88)</f>
        <v>0</v>
      </c>
      <c r="N88" s="379">
        <f t="shared" si="15"/>
        <v>0</v>
      </c>
      <c r="O88" s="409">
        <v>3.59</v>
      </c>
      <c r="P88" s="47">
        <f t="shared" si="16"/>
        <v>0</v>
      </c>
      <c r="Q88" s="377">
        <f t="shared" si="17"/>
        <v>0</v>
      </c>
      <c r="R88" s="21">
        <f t="shared" si="11"/>
        <v>334.76907466094872</v>
      </c>
      <c r="S88" s="375">
        <f t="shared" si="18"/>
        <v>334.76907466094872</v>
      </c>
    </row>
    <row r="89" spans="1:19" s="22" customFormat="1" x14ac:dyDescent="0.35">
      <c r="A89" s="19">
        <v>77</v>
      </c>
      <c r="B89" s="19">
        <v>99285</v>
      </c>
      <c r="C89" s="20" t="s">
        <v>359</v>
      </c>
      <c r="D89" s="116">
        <f>'As-Filed Schedule 4'!D89</f>
        <v>0</v>
      </c>
      <c r="E89" s="387">
        <f>SUMIFS(Adjustments!$G:$G,Adjustments!$H:$H,"4",Adjustments!$I:$I,'Schedule 4 Adjustments'!$D$14,Adjustments!$J:$J,'Schedule 4 Adjustments'!$A89)</f>
        <v>0</v>
      </c>
      <c r="F89" s="379">
        <f t="shared" si="12"/>
        <v>0</v>
      </c>
      <c r="G89" s="409">
        <v>5.2</v>
      </c>
      <c r="H89" s="47">
        <f t="shared" si="19"/>
        <v>0</v>
      </c>
      <c r="I89" s="377">
        <f t="shared" si="13"/>
        <v>0</v>
      </c>
      <c r="J89" s="21">
        <f t="shared" si="10"/>
        <v>484.90228084594241</v>
      </c>
      <c r="K89" s="375">
        <f t="shared" si="14"/>
        <v>484.90228084594241</v>
      </c>
      <c r="L89" s="150">
        <f>'As-Filed Schedule 4'!H89</f>
        <v>0</v>
      </c>
      <c r="M89" s="387">
        <f>SUMIFS(Adjustments!$G:$G,Adjustments!$H:$H,"4",Adjustments!$I:$I,'Schedule 4 Adjustments'!$L$14,Adjustments!$J:$J,'Schedule 4 Adjustments'!$A89)</f>
        <v>0</v>
      </c>
      <c r="N89" s="379">
        <f t="shared" si="15"/>
        <v>0</v>
      </c>
      <c r="O89" s="409">
        <v>5.2</v>
      </c>
      <c r="P89" s="47">
        <f t="shared" si="16"/>
        <v>0</v>
      </c>
      <c r="Q89" s="377">
        <f t="shared" si="17"/>
        <v>0</v>
      </c>
      <c r="R89" s="21">
        <f t="shared" si="11"/>
        <v>484.90228084594241</v>
      </c>
      <c r="S89" s="375">
        <f t="shared" si="18"/>
        <v>484.90228084594241</v>
      </c>
    </row>
    <row r="90" spans="1:19" s="22" customFormat="1" x14ac:dyDescent="0.35">
      <c r="A90" s="19">
        <v>78</v>
      </c>
      <c r="B90" s="19">
        <v>99304</v>
      </c>
      <c r="C90" s="20" t="s">
        <v>363</v>
      </c>
      <c r="D90" s="116">
        <f>'As-Filed Schedule 4'!D90</f>
        <v>0</v>
      </c>
      <c r="E90" s="387">
        <f>SUMIFS(Adjustments!$G:$G,Adjustments!$H:$H,"4",Adjustments!$I:$I,'Schedule 4 Adjustments'!$D$14,Adjustments!$J:$J,'Schedule 4 Adjustments'!$A90)</f>
        <v>0</v>
      </c>
      <c r="F90" s="379">
        <f t="shared" si="12"/>
        <v>0</v>
      </c>
      <c r="G90" s="409">
        <v>2.39</v>
      </c>
      <c r="H90" s="47">
        <f t="shared" si="19"/>
        <v>0</v>
      </c>
      <c r="I90" s="377">
        <f t="shared" si="13"/>
        <v>0</v>
      </c>
      <c r="J90" s="21">
        <f t="shared" si="10"/>
        <v>222.86854831188509</v>
      </c>
      <c r="K90" s="375">
        <f t="shared" si="14"/>
        <v>222.86854831188509</v>
      </c>
      <c r="L90" s="150">
        <f>'As-Filed Schedule 4'!H90</f>
        <v>0</v>
      </c>
      <c r="M90" s="387">
        <f>SUMIFS(Adjustments!$G:$G,Adjustments!$H:$H,"4",Adjustments!$I:$I,'Schedule 4 Adjustments'!$L$14,Adjustments!$J:$J,'Schedule 4 Adjustments'!$A90)</f>
        <v>0</v>
      </c>
      <c r="N90" s="379">
        <f t="shared" si="15"/>
        <v>0</v>
      </c>
      <c r="O90" s="409">
        <v>2.39</v>
      </c>
      <c r="P90" s="47">
        <f t="shared" si="16"/>
        <v>0</v>
      </c>
      <c r="Q90" s="377">
        <f t="shared" si="17"/>
        <v>0</v>
      </c>
      <c r="R90" s="21">
        <f t="shared" si="11"/>
        <v>222.86854831188509</v>
      </c>
      <c r="S90" s="375">
        <f t="shared" si="18"/>
        <v>222.86854831188509</v>
      </c>
    </row>
    <row r="91" spans="1:19" s="22" customFormat="1" x14ac:dyDescent="0.35">
      <c r="A91" s="19">
        <v>79</v>
      </c>
      <c r="B91" s="19">
        <v>99305</v>
      </c>
      <c r="C91" s="20" t="s">
        <v>364</v>
      </c>
      <c r="D91" s="116">
        <f>'As-Filed Schedule 4'!D91</f>
        <v>0</v>
      </c>
      <c r="E91" s="387">
        <f>SUMIFS(Adjustments!$G:$G,Adjustments!$H:$H,"4",Adjustments!$I:$I,'Schedule 4 Adjustments'!$D$14,Adjustments!$J:$J,'Schedule 4 Adjustments'!$A91)</f>
        <v>0</v>
      </c>
      <c r="F91" s="379">
        <f t="shared" si="12"/>
        <v>0</v>
      </c>
      <c r="G91" s="409">
        <v>3.97</v>
      </c>
      <c r="H91" s="47">
        <f t="shared" si="19"/>
        <v>0</v>
      </c>
      <c r="I91" s="377">
        <f t="shared" si="13"/>
        <v>0</v>
      </c>
      <c r="J91" s="21">
        <f t="shared" si="10"/>
        <v>370.2042413381522</v>
      </c>
      <c r="K91" s="375">
        <f t="shared" si="14"/>
        <v>370.2042413381522</v>
      </c>
      <c r="L91" s="150">
        <f>'As-Filed Schedule 4'!H91</f>
        <v>0</v>
      </c>
      <c r="M91" s="387">
        <f>SUMIFS(Adjustments!$G:$G,Adjustments!$H:$H,"4",Adjustments!$I:$I,'Schedule 4 Adjustments'!$L$14,Adjustments!$J:$J,'Schedule 4 Adjustments'!$A91)</f>
        <v>0</v>
      </c>
      <c r="N91" s="379">
        <f t="shared" si="15"/>
        <v>0</v>
      </c>
      <c r="O91" s="409">
        <v>3.97</v>
      </c>
      <c r="P91" s="47">
        <f t="shared" si="16"/>
        <v>0</v>
      </c>
      <c r="Q91" s="377">
        <f t="shared" si="17"/>
        <v>0</v>
      </c>
      <c r="R91" s="21">
        <f t="shared" si="11"/>
        <v>370.2042413381522</v>
      </c>
      <c r="S91" s="375">
        <f t="shared" si="18"/>
        <v>370.2042413381522</v>
      </c>
    </row>
    <row r="92" spans="1:19" s="22" customFormat="1" x14ac:dyDescent="0.35">
      <c r="A92" s="19">
        <v>80</v>
      </c>
      <c r="B92" s="19">
        <v>99306</v>
      </c>
      <c r="C92" s="20" t="s">
        <v>365</v>
      </c>
      <c r="D92" s="116">
        <f>'As-Filed Schedule 4'!D92</f>
        <v>0</v>
      </c>
      <c r="E92" s="387">
        <f>SUMIFS(Adjustments!$G:$G,Adjustments!$H:$H,"4",Adjustments!$I:$I,'Schedule 4 Adjustments'!$D$14,Adjustments!$J:$J,'Schedule 4 Adjustments'!$A92)</f>
        <v>0</v>
      </c>
      <c r="F92" s="379">
        <f t="shared" si="12"/>
        <v>0</v>
      </c>
      <c r="G92" s="409">
        <v>5.42</v>
      </c>
      <c r="H92" s="47">
        <f t="shared" si="19"/>
        <v>0</v>
      </c>
      <c r="I92" s="377">
        <f t="shared" si="13"/>
        <v>0</v>
      </c>
      <c r="J92" s="21">
        <f t="shared" si="10"/>
        <v>505.41737734327074</v>
      </c>
      <c r="K92" s="375">
        <f t="shared" si="14"/>
        <v>505.41737734327074</v>
      </c>
      <c r="L92" s="150">
        <f>'As-Filed Schedule 4'!H92</f>
        <v>0</v>
      </c>
      <c r="M92" s="387">
        <f>SUMIFS(Adjustments!$G:$G,Adjustments!$H:$H,"4",Adjustments!$I:$I,'Schedule 4 Adjustments'!$L$14,Adjustments!$J:$J,'Schedule 4 Adjustments'!$A92)</f>
        <v>0</v>
      </c>
      <c r="N92" s="379">
        <f t="shared" si="15"/>
        <v>0</v>
      </c>
      <c r="O92" s="409">
        <v>5.42</v>
      </c>
      <c r="P92" s="47">
        <f t="shared" si="16"/>
        <v>0</v>
      </c>
      <c r="Q92" s="377">
        <f t="shared" si="17"/>
        <v>0</v>
      </c>
      <c r="R92" s="21">
        <f t="shared" si="11"/>
        <v>505.41737734327074</v>
      </c>
      <c r="S92" s="375">
        <f t="shared" si="18"/>
        <v>505.41737734327074</v>
      </c>
    </row>
    <row r="93" spans="1:19" s="22" customFormat="1" x14ac:dyDescent="0.35">
      <c r="A93" s="19">
        <v>81</v>
      </c>
      <c r="B93" s="19">
        <v>99307</v>
      </c>
      <c r="C93" s="20" t="s">
        <v>366</v>
      </c>
      <c r="D93" s="116">
        <f>'As-Filed Schedule 4'!D93</f>
        <v>0</v>
      </c>
      <c r="E93" s="387">
        <f>SUMIFS(Adjustments!$G:$G,Adjustments!$H:$H,"4",Adjustments!$I:$I,'Schedule 4 Adjustments'!$D$14,Adjustments!$J:$J,'Schedule 4 Adjustments'!$A93)</f>
        <v>0</v>
      </c>
      <c r="F93" s="379">
        <f t="shared" si="12"/>
        <v>0</v>
      </c>
      <c r="G93" s="409">
        <v>1.2</v>
      </c>
      <c r="H93" s="47">
        <f t="shared" si="19"/>
        <v>0</v>
      </c>
      <c r="I93" s="377">
        <f t="shared" si="13"/>
        <v>0</v>
      </c>
      <c r="J93" s="21">
        <f t="shared" si="10"/>
        <v>111.90052634906364</v>
      </c>
      <c r="K93" s="375">
        <f t="shared" si="14"/>
        <v>111.90052634906364</v>
      </c>
      <c r="L93" s="150">
        <f>'As-Filed Schedule 4'!H93</f>
        <v>0</v>
      </c>
      <c r="M93" s="387">
        <f>SUMIFS(Adjustments!$G:$G,Adjustments!$H:$H,"4",Adjustments!$I:$I,'Schedule 4 Adjustments'!$L$14,Adjustments!$J:$J,'Schedule 4 Adjustments'!$A93)</f>
        <v>0</v>
      </c>
      <c r="N93" s="379">
        <f t="shared" si="15"/>
        <v>0</v>
      </c>
      <c r="O93" s="409">
        <v>1.2</v>
      </c>
      <c r="P93" s="47">
        <f t="shared" si="16"/>
        <v>0</v>
      </c>
      <c r="Q93" s="377">
        <f t="shared" si="17"/>
        <v>0</v>
      </c>
      <c r="R93" s="21">
        <f t="shared" si="11"/>
        <v>111.90052634906364</v>
      </c>
      <c r="S93" s="375">
        <f t="shared" si="18"/>
        <v>111.90052634906364</v>
      </c>
    </row>
    <row r="94" spans="1:19" s="22" customFormat="1" x14ac:dyDescent="0.35">
      <c r="A94" s="19">
        <v>82</v>
      </c>
      <c r="B94" s="19">
        <v>99308</v>
      </c>
      <c r="C94" s="20" t="s">
        <v>367</v>
      </c>
      <c r="D94" s="116">
        <f>'As-Filed Schedule 4'!D94</f>
        <v>0</v>
      </c>
      <c r="E94" s="387">
        <f>SUMIFS(Adjustments!$G:$G,Adjustments!$H:$H,"4",Adjustments!$I:$I,'Schedule 4 Adjustments'!$D$14,Adjustments!$J:$J,'Schedule 4 Adjustments'!$A94)</f>
        <v>0</v>
      </c>
      <c r="F94" s="379">
        <f t="shared" si="12"/>
        <v>0</v>
      </c>
      <c r="G94" s="409">
        <v>2.2200000000000002</v>
      </c>
      <c r="H94" s="47">
        <f t="shared" si="19"/>
        <v>0</v>
      </c>
      <c r="I94" s="377">
        <f t="shared" si="13"/>
        <v>0</v>
      </c>
      <c r="J94" s="21">
        <f t="shared" si="10"/>
        <v>207.01597374576775</v>
      </c>
      <c r="K94" s="375">
        <f t="shared" si="14"/>
        <v>207.01597374576775</v>
      </c>
      <c r="L94" s="150">
        <f>'As-Filed Schedule 4'!H94</f>
        <v>0</v>
      </c>
      <c r="M94" s="387">
        <f>SUMIFS(Adjustments!$G:$G,Adjustments!$H:$H,"4",Adjustments!$I:$I,'Schedule 4 Adjustments'!$L$14,Adjustments!$J:$J,'Schedule 4 Adjustments'!$A94)</f>
        <v>0</v>
      </c>
      <c r="N94" s="379">
        <f t="shared" si="15"/>
        <v>0</v>
      </c>
      <c r="O94" s="409">
        <v>2.2200000000000002</v>
      </c>
      <c r="P94" s="47">
        <f t="shared" si="16"/>
        <v>0</v>
      </c>
      <c r="Q94" s="377">
        <f t="shared" si="17"/>
        <v>0</v>
      </c>
      <c r="R94" s="21">
        <f t="shared" si="11"/>
        <v>207.01597374576775</v>
      </c>
      <c r="S94" s="375">
        <f t="shared" si="18"/>
        <v>207.01597374576775</v>
      </c>
    </row>
    <row r="95" spans="1:19" s="22" customFormat="1" x14ac:dyDescent="0.35">
      <c r="A95" s="19">
        <v>83</v>
      </c>
      <c r="B95" s="19">
        <v>99309</v>
      </c>
      <c r="C95" s="20" t="s">
        <v>368</v>
      </c>
      <c r="D95" s="116">
        <f>'As-Filed Schedule 4'!D95</f>
        <v>0</v>
      </c>
      <c r="E95" s="387">
        <f>SUMIFS(Adjustments!$G:$G,Adjustments!$H:$H,"4",Adjustments!$I:$I,'Schedule 4 Adjustments'!$D$14,Adjustments!$J:$J,'Schedule 4 Adjustments'!$A95)</f>
        <v>0</v>
      </c>
      <c r="F95" s="379">
        <f t="shared" si="12"/>
        <v>0</v>
      </c>
      <c r="G95" s="409">
        <v>3.21</v>
      </c>
      <c r="H95" s="47">
        <f t="shared" si="19"/>
        <v>0</v>
      </c>
      <c r="I95" s="377">
        <f t="shared" si="13"/>
        <v>0</v>
      </c>
      <c r="J95" s="21">
        <f t="shared" si="10"/>
        <v>299.33390798374523</v>
      </c>
      <c r="K95" s="375">
        <f t="shared" si="14"/>
        <v>299.33390798374523</v>
      </c>
      <c r="L95" s="150">
        <f>'As-Filed Schedule 4'!H95</f>
        <v>0</v>
      </c>
      <c r="M95" s="387">
        <f>SUMIFS(Adjustments!$G:$G,Adjustments!$H:$H,"4",Adjustments!$I:$I,'Schedule 4 Adjustments'!$L$14,Adjustments!$J:$J,'Schedule 4 Adjustments'!$A95)</f>
        <v>0</v>
      </c>
      <c r="N95" s="379">
        <f t="shared" si="15"/>
        <v>0</v>
      </c>
      <c r="O95" s="409">
        <v>3.21</v>
      </c>
      <c r="P95" s="47">
        <f t="shared" si="16"/>
        <v>0</v>
      </c>
      <c r="Q95" s="377">
        <f t="shared" si="17"/>
        <v>0</v>
      </c>
      <c r="R95" s="21">
        <f t="shared" si="11"/>
        <v>299.33390798374523</v>
      </c>
      <c r="S95" s="375">
        <f t="shared" si="18"/>
        <v>299.33390798374523</v>
      </c>
    </row>
    <row r="96" spans="1:19" s="22" customFormat="1" x14ac:dyDescent="0.35">
      <c r="A96" s="19">
        <v>84</v>
      </c>
      <c r="B96" s="19">
        <v>99310</v>
      </c>
      <c r="C96" s="20" t="s">
        <v>369</v>
      </c>
      <c r="D96" s="116">
        <f>'As-Filed Schedule 4'!D96</f>
        <v>0</v>
      </c>
      <c r="E96" s="387">
        <f>SUMIFS(Adjustments!$G:$G,Adjustments!$H:$H,"4",Adjustments!$I:$I,'Schedule 4 Adjustments'!$D$14,Adjustments!$J:$J,'Schedule 4 Adjustments'!$A96)</f>
        <v>0</v>
      </c>
      <c r="F96" s="379">
        <f t="shared" si="12"/>
        <v>0</v>
      </c>
      <c r="G96" s="409">
        <v>4.58</v>
      </c>
      <c r="H96" s="47">
        <f t="shared" si="19"/>
        <v>0</v>
      </c>
      <c r="I96" s="377">
        <f t="shared" si="13"/>
        <v>0</v>
      </c>
      <c r="J96" s="21">
        <f t="shared" si="10"/>
        <v>427.08700889892623</v>
      </c>
      <c r="K96" s="375">
        <f t="shared" si="14"/>
        <v>427.08700889892623</v>
      </c>
      <c r="L96" s="150">
        <f>'As-Filed Schedule 4'!H96</f>
        <v>0</v>
      </c>
      <c r="M96" s="387">
        <f>SUMIFS(Adjustments!$G:$G,Adjustments!$H:$H,"4",Adjustments!$I:$I,'Schedule 4 Adjustments'!$L$14,Adjustments!$J:$J,'Schedule 4 Adjustments'!$A96)</f>
        <v>0</v>
      </c>
      <c r="N96" s="379">
        <f t="shared" si="15"/>
        <v>0</v>
      </c>
      <c r="O96" s="409">
        <v>4.58</v>
      </c>
      <c r="P96" s="47">
        <f t="shared" si="16"/>
        <v>0</v>
      </c>
      <c r="Q96" s="377">
        <f t="shared" si="17"/>
        <v>0</v>
      </c>
      <c r="R96" s="21">
        <f t="shared" si="11"/>
        <v>427.08700889892623</v>
      </c>
      <c r="S96" s="375">
        <f t="shared" si="18"/>
        <v>427.08700889892623</v>
      </c>
    </row>
    <row r="97" spans="1:19" s="22" customFormat="1" x14ac:dyDescent="0.35">
      <c r="A97" s="19">
        <v>85</v>
      </c>
      <c r="B97" s="19">
        <v>99315</v>
      </c>
      <c r="C97" s="20" t="s">
        <v>370</v>
      </c>
      <c r="D97" s="116">
        <f>'As-Filed Schedule 4'!D97</f>
        <v>0</v>
      </c>
      <c r="E97" s="387">
        <f>SUMIFS(Adjustments!$G:$G,Adjustments!$H:$H,"4",Adjustments!$I:$I,'Schedule 4 Adjustments'!$D$14,Adjustments!$J:$J,'Schedule 4 Adjustments'!$A97)</f>
        <v>0</v>
      </c>
      <c r="F97" s="379">
        <f t="shared" si="12"/>
        <v>0</v>
      </c>
      <c r="G97" s="409">
        <v>2.4300000000000002</v>
      </c>
      <c r="H97" s="47">
        <f t="shared" si="19"/>
        <v>0</v>
      </c>
      <c r="I97" s="377">
        <f t="shared" si="13"/>
        <v>0</v>
      </c>
      <c r="J97" s="21">
        <f t="shared" si="10"/>
        <v>226.59856585685387</v>
      </c>
      <c r="K97" s="375">
        <f t="shared" si="14"/>
        <v>226.59856585685387</v>
      </c>
      <c r="L97" s="150">
        <f>'As-Filed Schedule 4'!H97</f>
        <v>0</v>
      </c>
      <c r="M97" s="387">
        <f>SUMIFS(Adjustments!$G:$G,Adjustments!$H:$H,"4",Adjustments!$I:$I,'Schedule 4 Adjustments'!$L$14,Adjustments!$J:$J,'Schedule 4 Adjustments'!$A97)</f>
        <v>0</v>
      </c>
      <c r="N97" s="379">
        <f t="shared" si="15"/>
        <v>0</v>
      </c>
      <c r="O97" s="409">
        <v>2.4300000000000002</v>
      </c>
      <c r="P97" s="47">
        <f t="shared" si="16"/>
        <v>0</v>
      </c>
      <c r="Q97" s="377">
        <f t="shared" si="17"/>
        <v>0</v>
      </c>
      <c r="R97" s="21">
        <f t="shared" si="11"/>
        <v>226.59856585685387</v>
      </c>
      <c r="S97" s="375">
        <f t="shared" si="18"/>
        <v>226.59856585685387</v>
      </c>
    </row>
    <row r="98" spans="1:19" s="22" customFormat="1" x14ac:dyDescent="0.35">
      <c r="A98" s="19">
        <v>86</v>
      </c>
      <c r="B98" s="19">
        <v>99316</v>
      </c>
      <c r="C98" s="20" t="s">
        <v>128</v>
      </c>
      <c r="D98" s="116">
        <f>'As-Filed Schedule 4'!D98</f>
        <v>0</v>
      </c>
      <c r="E98" s="387">
        <f>SUMIFS(Adjustments!$G:$G,Adjustments!$H:$H,"4",Adjustments!$I:$I,'Schedule 4 Adjustments'!$D$14,Adjustments!$J:$J,'Schedule 4 Adjustments'!$A98)</f>
        <v>0</v>
      </c>
      <c r="F98" s="379">
        <f t="shared" si="12"/>
        <v>0</v>
      </c>
      <c r="G98" s="409">
        <v>3.9</v>
      </c>
      <c r="H98" s="47">
        <f t="shared" si="19"/>
        <v>0</v>
      </c>
      <c r="I98" s="377">
        <f t="shared" si="13"/>
        <v>0</v>
      </c>
      <c r="J98" s="21">
        <f t="shared" si="10"/>
        <v>363.67671063445681</v>
      </c>
      <c r="K98" s="375">
        <f t="shared" si="14"/>
        <v>363.67671063445681</v>
      </c>
      <c r="L98" s="150">
        <f>'As-Filed Schedule 4'!H98</f>
        <v>0</v>
      </c>
      <c r="M98" s="387">
        <f>SUMIFS(Adjustments!$G:$G,Adjustments!$H:$H,"4",Adjustments!$I:$I,'Schedule 4 Adjustments'!$L$14,Adjustments!$J:$J,'Schedule 4 Adjustments'!$A98)</f>
        <v>0</v>
      </c>
      <c r="N98" s="379">
        <f t="shared" si="15"/>
        <v>0</v>
      </c>
      <c r="O98" s="409">
        <v>3.9</v>
      </c>
      <c r="P98" s="47">
        <f t="shared" si="16"/>
        <v>0</v>
      </c>
      <c r="Q98" s="377">
        <f t="shared" si="17"/>
        <v>0</v>
      </c>
      <c r="R98" s="21">
        <f t="shared" si="11"/>
        <v>363.67671063445681</v>
      </c>
      <c r="S98" s="375">
        <f t="shared" si="18"/>
        <v>363.67671063445681</v>
      </c>
    </row>
    <row r="99" spans="1:19" s="22" customFormat="1" x14ac:dyDescent="0.35">
      <c r="A99" s="19">
        <v>87</v>
      </c>
      <c r="B99" s="19">
        <v>99341</v>
      </c>
      <c r="C99" s="20" t="s">
        <v>371</v>
      </c>
      <c r="D99" s="116">
        <f>'As-Filed Schedule 4'!D99</f>
        <v>0</v>
      </c>
      <c r="E99" s="387">
        <f>SUMIFS(Adjustments!$G:$G,Adjustments!$H:$H,"4",Adjustments!$I:$I,'Schedule 4 Adjustments'!$D$14,Adjustments!$J:$J,'Schedule 4 Adjustments'!$A99)</f>
        <v>0</v>
      </c>
      <c r="F99" s="379">
        <f t="shared" si="12"/>
        <v>0</v>
      </c>
      <c r="G99" s="409">
        <v>1.47</v>
      </c>
      <c r="H99" s="47">
        <f t="shared" si="19"/>
        <v>0</v>
      </c>
      <c r="I99" s="377">
        <f t="shared" si="13"/>
        <v>0</v>
      </c>
      <c r="J99" s="21">
        <f t="shared" si="10"/>
        <v>137.07814477760294</v>
      </c>
      <c r="K99" s="375">
        <f t="shared" si="14"/>
        <v>137.07814477760294</v>
      </c>
      <c r="L99" s="150">
        <f>'As-Filed Schedule 4'!H99</f>
        <v>0</v>
      </c>
      <c r="M99" s="387">
        <f>SUMIFS(Adjustments!$G:$G,Adjustments!$H:$H,"4",Adjustments!$I:$I,'Schedule 4 Adjustments'!$L$14,Adjustments!$J:$J,'Schedule 4 Adjustments'!$A99)</f>
        <v>0</v>
      </c>
      <c r="N99" s="379">
        <f t="shared" si="15"/>
        <v>0</v>
      </c>
      <c r="O99" s="409">
        <v>1.47</v>
      </c>
      <c r="P99" s="47">
        <f t="shared" si="16"/>
        <v>0</v>
      </c>
      <c r="Q99" s="377">
        <f t="shared" si="17"/>
        <v>0</v>
      </c>
      <c r="R99" s="21">
        <f t="shared" si="11"/>
        <v>137.07814477760294</v>
      </c>
      <c r="S99" s="375">
        <f t="shared" si="18"/>
        <v>137.07814477760294</v>
      </c>
    </row>
    <row r="100" spans="1:19" s="22" customFormat="1" x14ac:dyDescent="0.35">
      <c r="A100" s="19">
        <v>88</v>
      </c>
      <c r="B100" s="19">
        <v>99342</v>
      </c>
      <c r="C100" s="20" t="s">
        <v>372</v>
      </c>
      <c r="D100" s="116">
        <f>'As-Filed Schedule 4'!D100</f>
        <v>0</v>
      </c>
      <c r="E100" s="387">
        <f>SUMIFS(Adjustments!$G:$G,Adjustments!$H:$H,"4",Adjustments!$I:$I,'Schedule 4 Adjustments'!$D$14,Adjustments!$J:$J,'Schedule 4 Adjustments'!$A100)</f>
        <v>0</v>
      </c>
      <c r="F100" s="379">
        <f t="shared" si="12"/>
        <v>0</v>
      </c>
      <c r="G100" s="409">
        <v>2.33</v>
      </c>
      <c r="H100" s="47">
        <f t="shared" si="19"/>
        <v>0</v>
      </c>
      <c r="I100" s="377">
        <f t="shared" si="13"/>
        <v>0</v>
      </c>
      <c r="J100" s="21">
        <f t="shared" si="10"/>
        <v>217.27352199443189</v>
      </c>
      <c r="K100" s="375">
        <f t="shared" si="14"/>
        <v>217.27352199443189</v>
      </c>
      <c r="L100" s="150">
        <f>'As-Filed Schedule 4'!H100</f>
        <v>0</v>
      </c>
      <c r="M100" s="387">
        <f>SUMIFS(Adjustments!$G:$G,Adjustments!$H:$H,"4",Adjustments!$I:$I,'Schedule 4 Adjustments'!$L$14,Adjustments!$J:$J,'Schedule 4 Adjustments'!$A100)</f>
        <v>0</v>
      </c>
      <c r="N100" s="379">
        <f t="shared" si="15"/>
        <v>0</v>
      </c>
      <c r="O100" s="409">
        <v>2.33</v>
      </c>
      <c r="P100" s="47">
        <f t="shared" si="16"/>
        <v>0</v>
      </c>
      <c r="Q100" s="377">
        <f t="shared" si="17"/>
        <v>0</v>
      </c>
      <c r="R100" s="21">
        <f t="shared" si="11"/>
        <v>217.27352199443189</v>
      </c>
      <c r="S100" s="375">
        <f t="shared" si="18"/>
        <v>217.27352199443189</v>
      </c>
    </row>
    <row r="101" spans="1:19" s="22" customFormat="1" x14ac:dyDescent="0.35">
      <c r="A101" s="19">
        <v>89</v>
      </c>
      <c r="B101" s="19">
        <v>99344</v>
      </c>
      <c r="C101" s="20" t="s">
        <v>373</v>
      </c>
      <c r="D101" s="116">
        <f>'As-Filed Schedule 4'!D101</f>
        <v>0</v>
      </c>
      <c r="E101" s="387">
        <f>SUMIFS(Adjustments!$G:$G,Adjustments!$H:$H,"4",Adjustments!$I:$I,'Schedule 4 Adjustments'!$D$14,Adjustments!$J:$J,'Schedule 4 Adjustments'!$A101)</f>
        <v>0</v>
      </c>
      <c r="F101" s="379">
        <f t="shared" si="12"/>
        <v>0</v>
      </c>
      <c r="G101" s="409">
        <v>4.2300000000000004</v>
      </c>
      <c r="H101" s="47">
        <f t="shared" si="19"/>
        <v>0</v>
      </c>
      <c r="I101" s="377">
        <f t="shared" si="13"/>
        <v>0</v>
      </c>
      <c r="J101" s="21">
        <f t="shared" si="10"/>
        <v>394.44935538044933</v>
      </c>
      <c r="K101" s="375">
        <f t="shared" si="14"/>
        <v>394.44935538044933</v>
      </c>
      <c r="L101" s="150">
        <f>'As-Filed Schedule 4'!H101</f>
        <v>0</v>
      </c>
      <c r="M101" s="387">
        <f>SUMIFS(Adjustments!$G:$G,Adjustments!$H:$H,"4",Adjustments!$I:$I,'Schedule 4 Adjustments'!$L$14,Adjustments!$J:$J,'Schedule 4 Adjustments'!$A101)</f>
        <v>0</v>
      </c>
      <c r="N101" s="379">
        <f t="shared" si="15"/>
        <v>0</v>
      </c>
      <c r="O101" s="409">
        <v>4.2300000000000004</v>
      </c>
      <c r="P101" s="47">
        <f t="shared" si="16"/>
        <v>0</v>
      </c>
      <c r="Q101" s="377">
        <f t="shared" si="17"/>
        <v>0</v>
      </c>
      <c r="R101" s="21">
        <f t="shared" si="11"/>
        <v>394.44935538044933</v>
      </c>
      <c r="S101" s="375">
        <f t="shared" si="18"/>
        <v>394.44935538044933</v>
      </c>
    </row>
    <row r="102" spans="1:19" s="22" customFormat="1" x14ac:dyDescent="0.35">
      <c r="A102" s="19">
        <v>90</v>
      </c>
      <c r="B102" s="19">
        <v>99345</v>
      </c>
      <c r="C102" s="20" t="s">
        <v>374</v>
      </c>
      <c r="D102" s="116">
        <f>'As-Filed Schedule 4'!D102</f>
        <v>0</v>
      </c>
      <c r="E102" s="387">
        <f>SUMIFS(Adjustments!$G:$G,Adjustments!$H:$H,"4",Adjustments!$I:$I,'Schedule 4 Adjustments'!$D$14,Adjustments!$J:$J,'Schedule 4 Adjustments'!$A102)</f>
        <v>0</v>
      </c>
      <c r="F102" s="379">
        <f t="shared" si="12"/>
        <v>0</v>
      </c>
      <c r="G102" s="409">
        <v>6.01</v>
      </c>
      <c r="H102" s="47">
        <f t="shared" si="19"/>
        <v>0</v>
      </c>
      <c r="I102" s="377">
        <f t="shared" si="13"/>
        <v>0</v>
      </c>
      <c r="J102" s="21">
        <f t="shared" si="10"/>
        <v>560.4351361315604</v>
      </c>
      <c r="K102" s="375">
        <f t="shared" si="14"/>
        <v>560.4351361315604</v>
      </c>
      <c r="L102" s="150">
        <f>'As-Filed Schedule 4'!H102</f>
        <v>0</v>
      </c>
      <c r="M102" s="387">
        <f>SUMIFS(Adjustments!$G:$G,Adjustments!$H:$H,"4",Adjustments!$I:$I,'Schedule 4 Adjustments'!$L$14,Adjustments!$J:$J,'Schedule 4 Adjustments'!$A102)</f>
        <v>0</v>
      </c>
      <c r="N102" s="379">
        <f t="shared" si="15"/>
        <v>0</v>
      </c>
      <c r="O102" s="409">
        <v>6.01</v>
      </c>
      <c r="P102" s="47">
        <f t="shared" si="16"/>
        <v>0</v>
      </c>
      <c r="Q102" s="377">
        <f t="shared" si="17"/>
        <v>0</v>
      </c>
      <c r="R102" s="21">
        <f t="shared" si="11"/>
        <v>560.4351361315604</v>
      </c>
      <c r="S102" s="375">
        <f t="shared" si="18"/>
        <v>560.4351361315604</v>
      </c>
    </row>
    <row r="103" spans="1:19" s="22" customFormat="1" x14ac:dyDescent="0.35">
      <c r="A103" s="19">
        <v>91</v>
      </c>
      <c r="B103" s="19">
        <v>99347</v>
      </c>
      <c r="C103" s="20" t="s">
        <v>375</v>
      </c>
      <c r="D103" s="116">
        <f>'As-Filed Schedule 4'!D103</f>
        <v>0</v>
      </c>
      <c r="E103" s="387">
        <f>SUMIFS(Adjustments!$G:$G,Adjustments!$H:$H,"4",Adjustments!$I:$I,'Schedule 4 Adjustments'!$D$14,Adjustments!$J:$J,'Schedule 4 Adjustments'!$A103)</f>
        <v>0</v>
      </c>
      <c r="F103" s="379">
        <f t="shared" si="12"/>
        <v>0</v>
      </c>
      <c r="G103" s="409">
        <v>1.35</v>
      </c>
      <c r="H103" s="47">
        <f t="shared" si="19"/>
        <v>0</v>
      </c>
      <c r="I103" s="377">
        <f t="shared" si="13"/>
        <v>0</v>
      </c>
      <c r="J103" s="21">
        <f t="shared" si="10"/>
        <v>125.88809214269659</v>
      </c>
      <c r="K103" s="375">
        <f t="shared" si="14"/>
        <v>125.88809214269659</v>
      </c>
      <c r="L103" s="150">
        <f>'As-Filed Schedule 4'!H103</f>
        <v>0</v>
      </c>
      <c r="M103" s="387">
        <f>SUMIFS(Adjustments!$G:$G,Adjustments!$H:$H,"4",Adjustments!$I:$I,'Schedule 4 Adjustments'!$L$14,Adjustments!$J:$J,'Schedule 4 Adjustments'!$A103)</f>
        <v>0</v>
      </c>
      <c r="N103" s="379">
        <f t="shared" si="15"/>
        <v>0</v>
      </c>
      <c r="O103" s="409">
        <v>1.35</v>
      </c>
      <c r="P103" s="47">
        <f t="shared" si="16"/>
        <v>0</v>
      </c>
      <c r="Q103" s="377">
        <f t="shared" si="17"/>
        <v>0</v>
      </c>
      <c r="R103" s="21">
        <f t="shared" si="11"/>
        <v>125.88809214269659</v>
      </c>
      <c r="S103" s="375">
        <f t="shared" si="18"/>
        <v>125.88809214269659</v>
      </c>
    </row>
    <row r="104" spans="1:19" s="22" customFormat="1" x14ac:dyDescent="0.35">
      <c r="A104" s="19">
        <v>92</v>
      </c>
      <c r="B104" s="19">
        <v>99348</v>
      </c>
      <c r="C104" s="20" t="s">
        <v>376</v>
      </c>
      <c r="D104" s="116">
        <f>'As-Filed Schedule 4'!D104</f>
        <v>0</v>
      </c>
      <c r="E104" s="387">
        <f>SUMIFS(Adjustments!$G:$G,Adjustments!$H:$H,"4",Adjustments!$I:$I,'Schedule 4 Adjustments'!$D$14,Adjustments!$J:$J,'Schedule 4 Adjustments'!$A104)</f>
        <v>0</v>
      </c>
      <c r="F104" s="379">
        <f t="shared" si="12"/>
        <v>0</v>
      </c>
      <c r="G104" s="409">
        <v>2.2799999999999998</v>
      </c>
      <c r="H104" s="47">
        <f t="shared" si="19"/>
        <v>0</v>
      </c>
      <c r="I104" s="377">
        <f t="shared" si="13"/>
        <v>0</v>
      </c>
      <c r="J104" s="21">
        <f t="shared" si="10"/>
        <v>212.6110000632209</v>
      </c>
      <c r="K104" s="375">
        <f t="shared" si="14"/>
        <v>212.6110000632209</v>
      </c>
      <c r="L104" s="150">
        <f>'As-Filed Schedule 4'!H104</f>
        <v>0</v>
      </c>
      <c r="M104" s="387">
        <f>SUMIFS(Adjustments!$G:$G,Adjustments!$H:$H,"4",Adjustments!$I:$I,'Schedule 4 Adjustments'!$L$14,Adjustments!$J:$J,'Schedule 4 Adjustments'!$A104)</f>
        <v>0</v>
      </c>
      <c r="N104" s="379">
        <f t="shared" si="15"/>
        <v>0</v>
      </c>
      <c r="O104" s="409">
        <v>2.2799999999999998</v>
      </c>
      <c r="P104" s="47">
        <f t="shared" si="16"/>
        <v>0</v>
      </c>
      <c r="Q104" s="377">
        <f t="shared" si="17"/>
        <v>0</v>
      </c>
      <c r="R104" s="21">
        <f t="shared" si="11"/>
        <v>212.6110000632209</v>
      </c>
      <c r="S104" s="375">
        <f t="shared" si="18"/>
        <v>212.6110000632209</v>
      </c>
    </row>
    <row r="105" spans="1:19" s="22" customFormat="1" x14ac:dyDescent="0.35">
      <c r="A105" s="19">
        <v>93</v>
      </c>
      <c r="B105" s="19">
        <v>99349</v>
      </c>
      <c r="C105" s="20" t="s">
        <v>377</v>
      </c>
      <c r="D105" s="116">
        <f>'As-Filed Schedule 4'!D105</f>
        <v>0</v>
      </c>
      <c r="E105" s="387">
        <f>SUMIFS(Adjustments!$G:$G,Adjustments!$H:$H,"4",Adjustments!$I:$I,'Schedule 4 Adjustments'!$D$14,Adjustments!$J:$J,'Schedule 4 Adjustments'!$A105)</f>
        <v>0</v>
      </c>
      <c r="F105" s="379">
        <f t="shared" si="12"/>
        <v>0</v>
      </c>
      <c r="G105" s="409">
        <v>3.79</v>
      </c>
      <c r="H105" s="47">
        <f t="shared" si="19"/>
        <v>0</v>
      </c>
      <c r="I105" s="377">
        <f t="shared" si="13"/>
        <v>0</v>
      </c>
      <c r="J105" s="21">
        <f t="shared" si="10"/>
        <v>353.41916238579267</v>
      </c>
      <c r="K105" s="375">
        <f t="shared" si="14"/>
        <v>353.41916238579267</v>
      </c>
      <c r="L105" s="150">
        <f>'As-Filed Schedule 4'!H105</f>
        <v>0</v>
      </c>
      <c r="M105" s="387">
        <f>SUMIFS(Adjustments!$G:$G,Adjustments!$H:$H,"4",Adjustments!$I:$I,'Schedule 4 Adjustments'!$L$14,Adjustments!$J:$J,'Schedule 4 Adjustments'!$A105)</f>
        <v>0</v>
      </c>
      <c r="N105" s="379">
        <f t="shared" si="15"/>
        <v>0</v>
      </c>
      <c r="O105" s="409">
        <v>3.79</v>
      </c>
      <c r="P105" s="47">
        <f t="shared" si="16"/>
        <v>0</v>
      </c>
      <c r="Q105" s="377">
        <f t="shared" si="17"/>
        <v>0</v>
      </c>
      <c r="R105" s="21">
        <f t="shared" si="11"/>
        <v>353.41916238579267</v>
      </c>
      <c r="S105" s="375">
        <f t="shared" si="18"/>
        <v>353.41916238579267</v>
      </c>
    </row>
    <row r="106" spans="1:19" s="22" customFormat="1" x14ac:dyDescent="0.35">
      <c r="A106" s="19">
        <v>94</v>
      </c>
      <c r="B106" s="19">
        <v>99350</v>
      </c>
      <c r="C106" s="20" t="s">
        <v>378</v>
      </c>
      <c r="D106" s="116">
        <f>'As-Filed Schedule 4'!D106</f>
        <v>0</v>
      </c>
      <c r="E106" s="387">
        <f>SUMIFS(Adjustments!$G:$G,Adjustments!$H:$H,"4",Adjustments!$I:$I,'Schedule 4 Adjustments'!$D$14,Adjustments!$J:$J,'Schedule 4 Adjustments'!$A106)</f>
        <v>0</v>
      </c>
      <c r="F106" s="379">
        <f t="shared" si="12"/>
        <v>0</v>
      </c>
      <c r="G106" s="409">
        <v>5.52</v>
      </c>
      <c r="H106" s="47">
        <f t="shared" si="19"/>
        <v>0</v>
      </c>
      <c r="I106" s="377">
        <f t="shared" si="13"/>
        <v>0</v>
      </c>
      <c r="J106" s="21">
        <f t="shared" si="10"/>
        <v>514.74242120569272</v>
      </c>
      <c r="K106" s="375">
        <f t="shared" si="14"/>
        <v>514.74242120569272</v>
      </c>
      <c r="L106" s="150">
        <f>'As-Filed Schedule 4'!H106</f>
        <v>0</v>
      </c>
      <c r="M106" s="387">
        <f>SUMIFS(Adjustments!$G:$G,Adjustments!$H:$H,"4",Adjustments!$I:$I,'Schedule 4 Adjustments'!$L$14,Adjustments!$J:$J,'Schedule 4 Adjustments'!$A106)</f>
        <v>0</v>
      </c>
      <c r="N106" s="379">
        <f t="shared" si="15"/>
        <v>0</v>
      </c>
      <c r="O106" s="409">
        <v>5.52</v>
      </c>
      <c r="P106" s="47">
        <f t="shared" si="16"/>
        <v>0</v>
      </c>
      <c r="Q106" s="377">
        <f t="shared" si="17"/>
        <v>0</v>
      </c>
      <c r="R106" s="21">
        <f t="shared" si="11"/>
        <v>514.74242120569272</v>
      </c>
      <c r="S106" s="375">
        <f t="shared" si="18"/>
        <v>514.74242120569272</v>
      </c>
    </row>
    <row r="107" spans="1:19" s="22" customFormat="1" x14ac:dyDescent="0.35">
      <c r="A107" s="19">
        <v>95</v>
      </c>
      <c r="B107" s="19">
        <v>99366</v>
      </c>
      <c r="C107" s="20" t="s">
        <v>379</v>
      </c>
      <c r="D107" s="116">
        <f>'As-Filed Schedule 4'!D107</f>
        <v>4</v>
      </c>
      <c r="E107" s="387">
        <f>SUMIFS(Adjustments!$G:$G,Adjustments!$H:$H,"4",Adjustments!$I:$I,'Schedule 4 Adjustments'!$D$14,Adjustments!$J:$J,'Schedule 4 Adjustments'!$A107)</f>
        <v>0</v>
      </c>
      <c r="F107" s="379">
        <f t="shared" si="12"/>
        <v>4</v>
      </c>
      <c r="G107" s="409">
        <v>1.22</v>
      </c>
      <c r="H107" s="47">
        <f t="shared" si="19"/>
        <v>4.88</v>
      </c>
      <c r="I107" s="377">
        <f t="shared" si="13"/>
        <v>4.88</v>
      </c>
      <c r="J107" s="21">
        <f t="shared" si="10"/>
        <v>113.76553512154803</v>
      </c>
      <c r="K107" s="375">
        <f t="shared" si="14"/>
        <v>113.76553512154803</v>
      </c>
      <c r="L107" s="150">
        <f>'As-Filed Schedule 4'!H107</f>
        <v>73</v>
      </c>
      <c r="M107" s="387">
        <f>SUMIFS(Adjustments!$G:$G,Adjustments!$H:$H,"4",Adjustments!$I:$I,'Schedule 4 Adjustments'!$L$14,Adjustments!$J:$J,'Schedule 4 Adjustments'!$A107)</f>
        <v>0</v>
      </c>
      <c r="N107" s="379">
        <f t="shared" si="15"/>
        <v>73</v>
      </c>
      <c r="O107" s="409">
        <v>1.19</v>
      </c>
      <c r="P107" s="47">
        <f t="shared" si="16"/>
        <v>86.86999999999999</v>
      </c>
      <c r="Q107" s="377">
        <f t="shared" si="17"/>
        <v>86.86999999999999</v>
      </c>
      <c r="R107" s="21">
        <f t="shared" si="11"/>
        <v>110.96802196282144</v>
      </c>
      <c r="S107" s="375">
        <f t="shared" si="18"/>
        <v>110.96802196282144</v>
      </c>
    </row>
    <row r="108" spans="1:19" s="22" customFormat="1" x14ac:dyDescent="0.35">
      <c r="A108" s="19">
        <v>96</v>
      </c>
      <c r="B108" s="19">
        <v>99367</v>
      </c>
      <c r="C108" s="20" t="s">
        <v>380</v>
      </c>
      <c r="D108" s="116">
        <f>'As-Filed Schedule 4'!D108</f>
        <v>0</v>
      </c>
      <c r="E108" s="387">
        <f>SUMIFS(Adjustments!$G:$G,Adjustments!$H:$H,"4",Adjustments!$I:$I,'Schedule 4 Adjustments'!$D$14,Adjustments!$J:$J,'Schedule 4 Adjustments'!$A108)</f>
        <v>0</v>
      </c>
      <c r="F108" s="379">
        <f t="shared" si="12"/>
        <v>0</v>
      </c>
      <c r="G108" s="409">
        <v>1.6</v>
      </c>
      <c r="H108" s="47">
        <f t="shared" si="19"/>
        <v>0</v>
      </c>
      <c r="I108" s="377">
        <f t="shared" si="13"/>
        <v>0</v>
      </c>
      <c r="J108" s="21">
        <f t="shared" si="10"/>
        <v>149.20070179875151</v>
      </c>
      <c r="K108" s="375">
        <f t="shared" si="14"/>
        <v>149.20070179875151</v>
      </c>
      <c r="L108" s="150">
        <f>'As-Filed Schedule 4'!H108</f>
        <v>0</v>
      </c>
      <c r="M108" s="387">
        <f>SUMIFS(Adjustments!$G:$G,Adjustments!$H:$H,"4",Adjustments!$I:$I,'Schedule 4 Adjustments'!$L$14,Adjustments!$J:$J,'Schedule 4 Adjustments'!$A108)</f>
        <v>0</v>
      </c>
      <c r="N108" s="379">
        <f t="shared" si="15"/>
        <v>0</v>
      </c>
      <c r="O108" s="409">
        <v>1.6</v>
      </c>
      <c r="P108" s="47">
        <f t="shared" si="16"/>
        <v>0</v>
      </c>
      <c r="Q108" s="377">
        <f t="shared" si="17"/>
        <v>0</v>
      </c>
      <c r="R108" s="21">
        <f t="shared" si="11"/>
        <v>149.20070179875151</v>
      </c>
      <c r="S108" s="375">
        <f t="shared" si="18"/>
        <v>149.20070179875151</v>
      </c>
    </row>
    <row r="109" spans="1:19" s="22" customFormat="1" x14ac:dyDescent="0.35">
      <c r="A109" s="19">
        <v>97</v>
      </c>
      <c r="B109" s="19">
        <v>99368</v>
      </c>
      <c r="C109" s="20" t="s">
        <v>381</v>
      </c>
      <c r="D109" s="116">
        <f>'As-Filed Schedule 4'!D109</f>
        <v>2</v>
      </c>
      <c r="E109" s="387">
        <f>SUMIFS(Adjustments!$G:$G,Adjustments!$H:$H,"4",Adjustments!$I:$I,'Schedule 4 Adjustments'!$D$14,Adjustments!$J:$J,'Schedule 4 Adjustments'!$A109)</f>
        <v>0</v>
      </c>
      <c r="F109" s="379">
        <f t="shared" si="12"/>
        <v>2</v>
      </c>
      <c r="G109" s="409">
        <v>1.04</v>
      </c>
      <c r="H109" s="47">
        <f t="shared" si="19"/>
        <v>2.08</v>
      </c>
      <c r="I109" s="377">
        <f t="shared" si="13"/>
        <v>2.08</v>
      </c>
      <c r="J109" s="21">
        <f t="shared" si="10"/>
        <v>96.980456169188486</v>
      </c>
      <c r="K109" s="375">
        <f t="shared" si="14"/>
        <v>96.980456169188486</v>
      </c>
      <c r="L109" s="150">
        <f>'As-Filed Schedule 4'!H109</f>
        <v>34</v>
      </c>
      <c r="M109" s="387">
        <f>SUMIFS(Adjustments!$G:$G,Adjustments!$H:$H,"4",Adjustments!$I:$I,'Schedule 4 Adjustments'!$L$14,Adjustments!$J:$J,'Schedule 4 Adjustments'!$A109)</f>
        <v>0</v>
      </c>
      <c r="N109" s="379">
        <f t="shared" si="15"/>
        <v>34</v>
      </c>
      <c r="O109" s="409">
        <v>1.04</v>
      </c>
      <c r="P109" s="47">
        <f t="shared" si="16"/>
        <v>35.36</v>
      </c>
      <c r="Q109" s="377">
        <f t="shared" si="17"/>
        <v>35.36</v>
      </c>
      <c r="R109" s="21">
        <f t="shared" si="11"/>
        <v>96.980456169188486</v>
      </c>
      <c r="S109" s="375">
        <f t="shared" si="18"/>
        <v>96.980456169188486</v>
      </c>
    </row>
    <row r="110" spans="1:19" s="22" customFormat="1" x14ac:dyDescent="0.35">
      <c r="A110" s="19">
        <v>98</v>
      </c>
      <c r="B110" s="19">
        <v>99441</v>
      </c>
      <c r="C110" s="20" t="s">
        <v>382</v>
      </c>
      <c r="D110" s="116">
        <f>'As-Filed Schedule 4'!D110</f>
        <v>0</v>
      </c>
      <c r="E110" s="387">
        <f>SUMIFS(Adjustments!$G:$G,Adjustments!$H:$H,"4",Adjustments!$I:$I,'Schedule 4 Adjustments'!$D$14,Adjustments!$J:$J,'Schedule 4 Adjustments'!$A110)</f>
        <v>0</v>
      </c>
      <c r="F110" s="379">
        <f t="shared" si="12"/>
        <v>0</v>
      </c>
      <c r="G110" s="409">
        <v>1.69</v>
      </c>
      <c r="H110" s="47">
        <f t="shared" si="19"/>
        <v>0</v>
      </c>
      <c r="I110" s="377">
        <f t="shared" si="13"/>
        <v>0</v>
      </c>
      <c r="J110" s="21">
        <f t="shared" si="10"/>
        <v>157.59324127493127</v>
      </c>
      <c r="K110" s="375">
        <f t="shared" si="14"/>
        <v>157.59324127493127</v>
      </c>
      <c r="L110" s="150">
        <f>'As-Filed Schedule 4'!H110</f>
        <v>0</v>
      </c>
      <c r="M110" s="387">
        <f>SUMIFS(Adjustments!$G:$G,Adjustments!$H:$H,"4",Adjustments!$I:$I,'Schedule 4 Adjustments'!$L$14,Adjustments!$J:$J,'Schedule 4 Adjustments'!$A110)</f>
        <v>0</v>
      </c>
      <c r="N110" s="379">
        <f t="shared" si="15"/>
        <v>0</v>
      </c>
      <c r="O110" s="409">
        <v>1.04</v>
      </c>
      <c r="P110" s="47">
        <f t="shared" si="16"/>
        <v>0</v>
      </c>
      <c r="Q110" s="377">
        <f t="shared" si="17"/>
        <v>0</v>
      </c>
      <c r="R110" s="21">
        <f t="shared" si="11"/>
        <v>96.980456169188486</v>
      </c>
      <c r="S110" s="375">
        <f t="shared" si="18"/>
        <v>96.980456169188486</v>
      </c>
    </row>
    <row r="111" spans="1:19" s="22" customFormat="1" x14ac:dyDescent="0.35">
      <c r="A111" s="19">
        <v>99</v>
      </c>
      <c r="B111" s="19">
        <v>99442</v>
      </c>
      <c r="C111" s="20" t="s">
        <v>383</v>
      </c>
      <c r="D111" s="116">
        <f>'As-Filed Schedule 4'!D111</f>
        <v>0</v>
      </c>
      <c r="E111" s="387">
        <f>SUMIFS(Adjustments!$G:$G,Adjustments!$H:$H,"4",Adjustments!$I:$I,'Schedule 4 Adjustments'!$D$14,Adjustments!$J:$J,'Schedule 4 Adjustments'!$A111)</f>
        <v>0</v>
      </c>
      <c r="F111" s="379">
        <f t="shared" si="12"/>
        <v>0</v>
      </c>
      <c r="G111" s="409">
        <v>2.72</v>
      </c>
      <c r="H111" s="47">
        <f t="shared" si="19"/>
        <v>0</v>
      </c>
      <c r="I111" s="377">
        <f t="shared" si="13"/>
        <v>0</v>
      </c>
      <c r="J111" s="21">
        <f t="shared" si="10"/>
        <v>253.64119305787759</v>
      </c>
      <c r="K111" s="375">
        <f t="shared" si="14"/>
        <v>253.64119305787759</v>
      </c>
      <c r="L111" s="150">
        <f>'As-Filed Schedule 4'!H111</f>
        <v>0</v>
      </c>
      <c r="M111" s="387">
        <f>SUMIFS(Adjustments!$G:$G,Adjustments!$H:$H,"4",Adjustments!$I:$I,'Schedule 4 Adjustments'!$L$14,Adjustments!$J:$J,'Schedule 4 Adjustments'!$A111)</f>
        <v>0</v>
      </c>
      <c r="N111" s="379">
        <f t="shared" si="15"/>
        <v>0</v>
      </c>
      <c r="O111" s="409">
        <v>1.95</v>
      </c>
      <c r="P111" s="47">
        <f t="shared" si="16"/>
        <v>0</v>
      </c>
      <c r="Q111" s="377">
        <f t="shared" si="17"/>
        <v>0</v>
      </c>
      <c r="R111" s="21">
        <f t="shared" si="11"/>
        <v>181.83835531722841</v>
      </c>
      <c r="S111" s="375">
        <f t="shared" si="18"/>
        <v>181.83835531722841</v>
      </c>
    </row>
    <row r="112" spans="1:19" s="22" customFormat="1" x14ac:dyDescent="0.35">
      <c r="A112" s="19">
        <v>100</v>
      </c>
      <c r="B112" s="19">
        <v>99443</v>
      </c>
      <c r="C112" s="20" t="s">
        <v>384</v>
      </c>
      <c r="D112" s="116">
        <f>'As-Filed Schedule 4'!D112</f>
        <v>0</v>
      </c>
      <c r="E112" s="387">
        <f>SUMIFS(Adjustments!$G:$G,Adjustments!$H:$H,"4",Adjustments!$I:$I,'Schedule 4 Adjustments'!$D$14,Adjustments!$J:$J,'Schedule 4 Adjustments'!$A112)</f>
        <v>0</v>
      </c>
      <c r="F112" s="379">
        <f t="shared" si="12"/>
        <v>0</v>
      </c>
      <c r="G112" s="409">
        <v>3.85</v>
      </c>
      <c r="H112" s="47">
        <f t="shared" si="19"/>
        <v>0</v>
      </c>
      <c r="I112" s="377">
        <f t="shared" si="13"/>
        <v>0</v>
      </c>
      <c r="J112" s="21">
        <f t="shared" si="10"/>
        <v>359.01418870324585</v>
      </c>
      <c r="K112" s="375">
        <f t="shared" si="14"/>
        <v>359.01418870324585</v>
      </c>
      <c r="L112" s="150">
        <f>'As-Filed Schedule 4'!H112</f>
        <v>0</v>
      </c>
      <c r="M112" s="387">
        <f>SUMIFS(Adjustments!$G:$G,Adjustments!$H:$H,"4",Adjustments!$I:$I,'Schedule 4 Adjustments'!$L$14,Adjustments!$J:$J,'Schedule 4 Adjustments'!$A112)</f>
        <v>0</v>
      </c>
      <c r="N112" s="379">
        <f t="shared" si="15"/>
        <v>0</v>
      </c>
      <c r="O112" s="409">
        <v>2.89</v>
      </c>
      <c r="P112" s="47">
        <f t="shared" si="16"/>
        <v>0</v>
      </c>
      <c r="Q112" s="377">
        <f t="shared" si="17"/>
        <v>0</v>
      </c>
      <c r="R112" s="21">
        <f t="shared" si="11"/>
        <v>269.49376762399493</v>
      </c>
      <c r="S112" s="375">
        <f t="shared" si="18"/>
        <v>269.49376762399493</v>
      </c>
    </row>
    <row r="113" spans="1:19" s="22" customFormat="1" ht="34.5" customHeight="1" x14ac:dyDescent="0.35">
      <c r="A113" s="19">
        <v>101</v>
      </c>
      <c r="B113" s="19" t="s">
        <v>42</v>
      </c>
      <c r="C113" s="20" t="s">
        <v>385</v>
      </c>
      <c r="D113" s="116">
        <f>'As-Filed Schedule 4'!D113</f>
        <v>0</v>
      </c>
      <c r="E113" s="387">
        <f>SUMIFS(Adjustments!$G:$G,Adjustments!$H:$H,"4",Adjustments!$I:$I,'Schedule 4 Adjustments'!$D$14,Adjustments!$J:$J,'Schedule 4 Adjustments'!$A113)</f>
        <v>0</v>
      </c>
      <c r="F113" s="379">
        <f t="shared" si="12"/>
        <v>0</v>
      </c>
      <c r="G113" s="409">
        <v>1.27</v>
      </c>
      <c r="H113" s="47">
        <f t="shared" si="19"/>
        <v>0</v>
      </c>
      <c r="I113" s="377">
        <f t="shared" si="13"/>
        <v>0</v>
      </c>
      <c r="J113" s="21">
        <f t="shared" si="10"/>
        <v>118.42805705275902</v>
      </c>
      <c r="K113" s="375">
        <f t="shared" si="14"/>
        <v>118.42805705275902</v>
      </c>
      <c r="L113" s="150">
        <f>'As-Filed Schedule 4'!H113</f>
        <v>0</v>
      </c>
      <c r="M113" s="387">
        <f>SUMIFS(Adjustments!$G:$G,Adjustments!$H:$H,"4",Adjustments!$I:$I,'Schedule 4 Adjustments'!$L$14,Adjustments!$J:$J,'Schedule 4 Adjustments'!$A113)</f>
        <v>0</v>
      </c>
      <c r="N113" s="379">
        <f t="shared" si="15"/>
        <v>0</v>
      </c>
      <c r="O113" s="409">
        <v>1.1100000000000001</v>
      </c>
      <c r="P113" s="47">
        <f t="shared" si="16"/>
        <v>0</v>
      </c>
      <c r="Q113" s="377">
        <f t="shared" si="17"/>
        <v>0</v>
      </c>
      <c r="R113" s="21">
        <f t="shared" si="11"/>
        <v>103.50798687288388</v>
      </c>
      <c r="S113" s="375">
        <f t="shared" si="18"/>
        <v>103.50798687288388</v>
      </c>
    </row>
    <row r="114" spans="1:19" s="22" customFormat="1" ht="29" x14ac:dyDescent="0.35">
      <c r="A114" s="19">
        <v>102</v>
      </c>
      <c r="B114" s="19" t="s">
        <v>43</v>
      </c>
      <c r="C114" s="20" t="s">
        <v>386</v>
      </c>
      <c r="D114" s="116">
        <f>'As-Filed Schedule 4'!D114</f>
        <v>0</v>
      </c>
      <c r="E114" s="387">
        <f>SUMIFS(Adjustments!$G:$G,Adjustments!$H:$H,"4",Adjustments!$I:$I,'Schedule 4 Adjustments'!$D$14,Adjustments!$J:$J,'Schedule 4 Adjustments'!$A114)</f>
        <v>0</v>
      </c>
      <c r="F114" s="379">
        <f t="shared" si="12"/>
        <v>0</v>
      </c>
      <c r="G114" s="409">
        <v>0.75</v>
      </c>
      <c r="H114" s="47">
        <f t="shared" si="19"/>
        <v>0</v>
      </c>
      <c r="I114" s="377">
        <f t="shared" si="13"/>
        <v>0</v>
      </c>
      <c r="J114" s="21">
        <f t="shared" si="10"/>
        <v>69.93782896816478</v>
      </c>
      <c r="K114" s="375">
        <f t="shared" si="14"/>
        <v>69.93782896816478</v>
      </c>
      <c r="L114" s="150">
        <f>'As-Filed Schedule 4'!H114</f>
        <v>0</v>
      </c>
      <c r="M114" s="387">
        <f>SUMIFS(Adjustments!$G:$G,Adjustments!$H:$H,"4",Adjustments!$I:$I,'Schedule 4 Adjustments'!$L$14,Adjustments!$J:$J,'Schedule 4 Adjustments'!$A114)</f>
        <v>0</v>
      </c>
      <c r="N114" s="379">
        <f t="shared" si="15"/>
        <v>0</v>
      </c>
      <c r="O114" s="409">
        <v>0.37</v>
      </c>
      <c r="P114" s="47">
        <f t="shared" si="16"/>
        <v>0</v>
      </c>
      <c r="Q114" s="377">
        <f t="shared" si="17"/>
        <v>0</v>
      </c>
      <c r="R114" s="21">
        <f t="shared" si="11"/>
        <v>34.50266229096129</v>
      </c>
      <c r="S114" s="375">
        <f t="shared" si="18"/>
        <v>34.50266229096129</v>
      </c>
    </row>
    <row r="115" spans="1:19" s="22" customFormat="1" x14ac:dyDescent="0.35">
      <c r="A115" s="19">
        <v>103</v>
      </c>
      <c r="B115" s="19" t="s">
        <v>44</v>
      </c>
      <c r="C115" s="20" t="s">
        <v>129</v>
      </c>
      <c r="D115" s="116">
        <f>'As-Filed Schedule 4'!D115</f>
        <v>0</v>
      </c>
      <c r="E115" s="387">
        <f>SUMIFS(Adjustments!$G:$G,Adjustments!$H:$H,"4",Adjustments!$I:$I,'Schedule 4 Adjustments'!$D$14,Adjustments!$J:$J,'Schedule 4 Adjustments'!$A115)</f>
        <v>0</v>
      </c>
      <c r="F115" s="379">
        <f t="shared" si="12"/>
        <v>0</v>
      </c>
      <c r="G115" s="409">
        <v>5.17</v>
      </c>
      <c r="H115" s="47">
        <f t="shared" si="19"/>
        <v>0</v>
      </c>
      <c r="I115" s="377">
        <f t="shared" si="13"/>
        <v>0</v>
      </c>
      <c r="J115" s="21">
        <f t="shared" si="10"/>
        <v>482.10476768721583</v>
      </c>
      <c r="K115" s="375">
        <f t="shared" si="14"/>
        <v>482.10476768721583</v>
      </c>
      <c r="L115" s="150">
        <f>'As-Filed Schedule 4'!H115</f>
        <v>610</v>
      </c>
      <c r="M115" s="387">
        <f>SUMIFS(Adjustments!$G:$G,Adjustments!$H:$H,"4",Adjustments!$I:$I,'Schedule 4 Adjustments'!$L$14,Adjustments!$J:$J,'Schedule 4 Adjustments'!$A115)</f>
        <v>0</v>
      </c>
      <c r="N115" s="379">
        <f t="shared" si="15"/>
        <v>610</v>
      </c>
      <c r="O115" s="409">
        <v>4.43</v>
      </c>
      <c r="P115" s="47">
        <f t="shared" si="16"/>
        <v>2702.2999999999997</v>
      </c>
      <c r="Q115" s="377">
        <f t="shared" si="17"/>
        <v>2702.2999999999997</v>
      </c>
      <c r="R115" s="21">
        <f t="shared" si="11"/>
        <v>413.09944310529323</v>
      </c>
      <c r="S115" s="375">
        <f t="shared" si="18"/>
        <v>413.09944310529323</v>
      </c>
    </row>
    <row r="116" spans="1:19" s="22" customFormat="1" x14ac:dyDescent="0.35">
      <c r="A116" s="19">
        <v>104</v>
      </c>
      <c r="B116" s="19" t="s">
        <v>45</v>
      </c>
      <c r="C116" s="20" t="s">
        <v>387</v>
      </c>
      <c r="D116" s="116">
        <f>'As-Filed Schedule 4'!D116</f>
        <v>201</v>
      </c>
      <c r="E116" s="387">
        <f>SUMIFS(Adjustments!$G:$G,Adjustments!$H:$H,"4",Adjustments!$I:$I,'Schedule 4 Adjustments'!$D$14,Adjustments!$J:$J,'Schedule 4 Adjustments'!$A116)</f>
        <v>0</v>
      </c>
      <c r="F116" s="379">
        <f t="shared" si="12"/>
        <v>201</v>
      </c>
      <c r="G116" s="409">
        <v>0.72</v>
      </c>
      <c r="H116" s="47">
        <f t="shared" si="19"/>
        <v>144.72</v>
      </c>
      <c r="I116" s="377">
        <f t="shared" si="13"/>
        <v>144.72</v>
      </c>
      <c r="J116" s="21">
        <f t="shared" si="10"/>
        <v>67.140315809438178</v>
      </c>
      <c r="K116" s="375">
        <f t="shared" si="14"/>
        <v>67.140315809438178</v>
      </c>
      <c r="L116" s="150">
        <f>'As-Filed Schedule 4'!H116</f>
        <v>2943</v>
      </c>
      <c r="M116" s="387">
        <f>SUMIFS(Adjustments!$G:$G,Adjustments!$H:$H,"4",Adjustments!$I:$I,'Schedule 4 Adjustments'!$L$14,Adjustments!$J:$J,'Schedule 4 Adjustments'!$A116)</f>
        <v>0</v>
      </c>
      <c r="N116" s="379">
        <f t="shared" si="15"/>
        <v>2943</v>
      </c>
      <c r="O116" s="409">
        <v>0.66</v>
      </c>
      <c r="P116" s="47">
        <f t="shared" si="16"/>
        <v>1942.38</v>
      </c>
      <c r="Q116" s="377">
        <f t="shared" si="17"/>
        <v>1942.38</v>
      </c>
      <c r="R116" s="21">
        <f t="shared" si="11"/>
        <v>61.545289491985002</v>
      </c>
      <c r="S116" s="375">
        <f t="shared" si="18"/>
        <v>61.545289491985002</v>
      </c>
    </row>
    <row r="117" spans="1:19" s="22" customFormat="1" ht="29" x14ac:dyDescent="0.35">
      <c r="A117" s="19">
        <v>105</v>
      </c>
      <c r="B117" s="19" t="s">
        <v>19</v>
      </c>
      <c r="C117" s="20" t="s">
        <v>39</v>
      </c>
      <c r="D117" s="116">
        <f>'As-Filed Schedule 4'!D117</f>
        <v>0</v>
      </c>
      <c r="E117" s="387">
        <f>SUMIFS(Adjustments!$G:$G,Adjustments!$H:$H,"4",Adjustments!$I:$I,'Schedule 4 Adjustments'!$D$14,Adjustments!$J:$J,'Schedule 4 Adjustments'!$A117)</f>
        <v>0</v>
      </c>
      <c r="F117" s="379">
        <f t="shared" si="12"/>
        <v>0</v>
      </c>
      <c r="G117" s="409">
        <v>0</v>
      </c>
      <c r="H117" s="47">
        <f t="shared" si="19"/>
        <v>0</v>
      </c>
      <c r="I117" s="377">
        <f t="shared" si="13"/>
        <v>0</v>
      </c>
      <c r="J117" s="21">
        <f t="shared" si="10"/>
        <v>0</v>
      </c>
      <c r="K117" s="375">
        <f t="shared" si="14"/>
        <v>0</v>
      </c>
      <c r="L117" s="150">
        <f>'As-Filed Schedule 4'!H117</f>
        <v>0</v>
      </c>
      <c r="M117" s="387">
        <f>SUMIFS(Adjustments!$G:$G,Adjustments!$H:$H,"4",Adjustments!$I:$I,'Schedule 4 Adjustments'!$L$14,Adjustments!$J:$J,'Schedule 4 Adjustments'!$A117)</f>
        <v>0</v>
      </c>
      <c r="N117" s="379">
        <f t="shared" si="15"/>
        <v>0</v>
      </c>
      <c r="O117" s="409">
        <v>0</v>
      </c>
      <c r="P117" s="47">
        <f t="shared" si="16"/>
        <v>0</v>
      </c>
      <c r="Q117" s="377">
        <f t="shared" si="17"/>
        <v>0</v>
      </c>
      <c r="R117" s="21">
        <f t="shared" si="11"/>
        <v>0</v>
      </c>
      <c r="S117" s="375">
        <f t="shared" si="18"/>
        <v>0</v>
      </c>
    </row>
    <row r="118" spans="1:19" s="22" customFormat="1" x14ac:dyDescent="0.35">
      <c r="A118" s="19">
        <v>106</v>
      </c>
      <c r="B118" s="19" t="s">
        <v>46</v>
      </c>
      <c r="C118" s="20" t="s">
        <v>130</v>
      </c>
      <c r="D118" s="116">
        <f>'As-Filed Schedule 4'!D118</f>
        <v>0</v>
      </c>
      <c r="E118" s="387">
        <f>SUMIFS(Adjustments!$G:$G,Adjustments!$H:$H,"4",Adjustments!$I:$I,'Schedule 4 Adjustments'!$D$14,Adjustments!$J:$J,'Schedule 4 Adjustments'!$A118)</f>
        <v>0</v>
      </c>
      <c r="F118" s="379">
        <f t="shared" si="12"/>
        <v>0</v>
      </c>
      <c r="G118" s="409">
        <v>1.18</v>
      </c>
      <c r="H118" s="47">
        <f t="shared" si="19"/>
        <v>0</v>
      </c>
      <c r="I118" s="377">
        <f t="shared" si="13"/>
        <v>0</v>
      </c>
      <c r="J118" s="21">
        <f t="shared" si="10"/>
        <v>110.03551757657924</v>
      </c>
      <c r="K118" s="375">
        <f t="shared" si="14"/>
        <v>110.03551757657924</v>
      </c>
      <c r="L118" s="150">
        <f>'As-Filed Schedule 4'!H118</f>
        <v>4625</v>
      </c>
      <c r="M118" s="387">
        <f>SUMIFS(Adjustments!$G:$G,Adjustments!$H:$H,"4",Adjustments!$I:$I,'Schedule 4 Adjustments'!$L$14,Adjustments!$J:$J,'Schedule 4 Adjustments'!$A118)</f>
        <v>0</v>
      </c>
      <c r="N118" s="379">
        <f t="shared" si="15"/>
        <v>4625</v>
      </c>
      <c r="O118" s="409">
        <v>1.03</v>
      </c>
      <c r="P118" s="47">
        <f t="shared" si="16"/>
        <v>4763.75</v>
      </c>
      <c r="Q118" s="377">
        <f t="shared" si="17"/>
        <v>4763.75</v>
      </c>
      <c r="R118" s="21">
        <f t="shared" si="11"/>
        <v>96.047951782946285</v>
      </c>
      <c r="S118" s="375">
        <f t="shared" si="18"/>
        <v>96.047951782946285</v>
      </c>
    </row>
    <row r="119" spans="1:19" s="22" customFormat="1" x14ac:dyDescent="0.35">
      <c r="A119" s="19">
        <v>107</v>
      </c>
      <c r="B119" s="19" t="s">
        <v>47</v>
      </c>
      <c r="C119" s="20" t="s">
        <v>131</v>
      </c>
      <c r="D119" s="116">
        <f>'As-Filed Schedule 4'!D119</f>
        <v>0</v>
      </c>
      <c r="E119" s="387">
        <f>SUMIFS(Adjustments!$G:$G,Adjustments!$H:$H,"4",Adjustments!$I:$I,'Schedule 4 Adjustments'!$D$14,Adjustments!$J:$J,'Schedule 4 Adjustments'!$A119)</f>
        <v>0</v>
      </c>
      <c r="F119" s="379">
        <f t="shared" si="12"/>
        <v>0</v>
      </c>
      <c r="G119" s="409">
        <v>0.83</v>
      </c>
      <c r="H119" s="47">
        <f t="shared" si="19"/>
        <v>0</v>
      </c>
      <c r="I119" s="377">
        <f t="shared" si="13"/>
        <v>0</v>
      </c>
      <c r="J119" s="21">
        <f t="shared" si="10"/>
        <v>77.397864058102343</v>
      </c>
      <c r="K119" s="375">
        <f t="shared" si="14"/>
        <v>77.397864058102343</v>
      </c>
      <c r="L119" s="150">
        <f>'As-Filed Schedule 4'!H119</f>
        <v>5617</v>
      </c>
      <c r="M119" s="387">
        <f>SUMIFS(Adjustments!$G:$G,Adjustments!$H:$H,"4",Adjustments!$I:$I,'Schedule 4 Adjustments'!$L$14,Adjustments!$J:$J,'Schedule 4 Adjustments'!$A119)</f>
        <v>0</v>
      </c>
      <c r="N119" s="379">
        <f t="shared" si="15"/>
        <v>5617</v>
      </c>
      <c r="O119" s="409">
        <v>0.72</v>
      </c>
      <c r="P119" s="47">
        <f t="shared" si="16"/>
        <v>4044.24</v>
      </c>
      <c r="Q119" s="377">
        <f t="shared" si="17"/>
        <v>4044.24</v>
      </c>
      <c r="R119" s="21">
        <f t="shared" si="11"/>
        <v>67.140315809438178</v>
      </c>
      <c r="S119" s="375">
        <f t="shared" si="18"/>
        <v>67.140315809438178</v>
      </c>
    </row>
    <row r="120" spans="1:19" s="22" customFormat="1" x14ac:dyDescent="0.35">
      <c r="A120" s="19">
        <v>108</v>
      </c>
      <c r="B120" s="19" t="s">
        <v>48</v>
      </c>
      <c r="C120" s="20" t="s">
        <v>132</v>
      </c>
      <c r="D120" s="116">
        <f>'As-Filed Schedule 4'!D120</f>
        <v>3</v>
      </c>
      <c r="E120" s="387">
        <f>SUMIFS(Adjustments!$G:$G,Adjustments!$H:$H,"4",Adjustments!$I:$I,'Schedule 4 Adjustments'!$D$14,Adjustments!$J:$J,'Schedule 4 Adjustments'!$A120)</f>
        <v>0</v>
      </c>
      <c r="F120" s="379">
        <f t="shared" si="12"/>
        <v>3</v>
      </c>
      <c r="G120" s="409">
        <v>0.64</v>
      </c>
      <c r="H120" s="47">
        <f t="shared" si="19"/>
        <v>1.92</v>
      </c>
      <c r="I120" s="377">
        <f t="shared" si="13"/>
        <v>1.92</v>
      </c>
      <c r="J120" s="21">
        <f t="shared" si="10"/>
        <v>59.680280719500608</v>
      </c>
      <c r="K120" s="375">
        <f t="shared" si="14"/>
        <v>59.680280719500608</v>
      </c>
      <c r="L120" s="150">
        <f>'As-Filed Schedule 4'!H120</f>
        <v>358</v>
      </c>
      <c r="M120" s="387">
        <f>SUMIFS(Adjustments!$G:$G,Adjustments!$H:$H,"4",Adjustments!$I:$I,'Schedule 4 Adjustments'!$L$14,Adjustments!$J:$J,'Schedule 4 Adjustments'!$A120)</f>
        <v>0</v>
      </c>
      <c r="N120" s="379">
        <f t="shared" si="15"/>
        <v>358</v>
      </c>
      <c r="O120" s="409">
        <v>0.6</v>
      </c>
      <c r="P120" s="47">
        <f t="shared" si="16"/>
        <v>214.79999999999998</v>
      </c>
      <c r="Q120" s="377">
        <f t="shared" si="17"/>
        <v>214.79999999999998</v>
      </c>
      <c r="R120" s="21">
        <f t="shared" si="11"/>
        <v>55.95026317453182</v>
      </c>
      <c r="S120" s="375">
        <f t="shared" si="18"/>
        <v>55.95026317453182</v>
      </c>
    </row>
    <row r="121" spans="1:19" s="22" customFormat="1" x14ac:dyDescent="0.35">
      <c r="A121" s="19">
        <v>109</v>
      </c>
      <c r="B121" s="19" t="s">
        <v>21</v>
      </c>
      <c r="C121" s="20" t="s">
        <v>24</v>
      </c>
      <c r="D121" s="116">
        <f>'As-Filed Schedule 4'!D121</f>
        <v>0</v>
      </c>
      <c r="E121" s="387">
        <f>SUMIFS(Adjustments!$G:$G,Adjustments!$H:$H,"4",Adjustments!$I:$I,'Schedule 4 Adjustments'!$D$14,Adjustments!$J:$J,'Schedule 4 Adjustments'!$A121)</f>
        <v>0</v>
      </c>
      <c r="F121" s="379">
        <f t="shared" si="12"/>
        <v>0</v>
      </c>
      <c r="G121" s="409">
        <v>0</v>
      </c>
      <c r="H121" s="47">
        <f t="shared" si="19"/>
        <v>0</v>
      </c>
      <c r="I121" s="377">
        <f t="shared" si="13"/>
        <v>0</v>
      </c>
      <c r="J121" s="21">
        <f t="shared" si="10"/>
        <v>0</v>
      </c>
      <c r="K121" s="375">
        <f t="shared" si="14"/>
        <v>0</v>
      </c>
      <c r="L121" s="150">
        <f>'As-Filed Schedule 4'!H121</f>
        <v>0</v>
      </c>
      <c r="M121" s="387">
        <f>SUMIFS(Adjustments!$G:$G,Adjustments!$H:$H,"4",Adjustments!$I:$I,'Schedule 4 Adjustments'!$L$14,Adjustments!$J:$J,'Schedule 4 Adjustments'!$A121)</f>
        <v>0</v>
      </c>
      <c r="N121" s="379">
        <f t="shared" si="15"/>
        <v>0</v>
      </c>
      <c r="O121" s="409">
        <v>0</v>
      </c>
      <c r="P121" s="47">
        <f t="shared" si="16"/>
        <v>0</v>
      </c>
      <c r="Q121" s="377">
        <f t="shared" si="17"/>
        <v>0</v>
      </c>
      <c r="R121" s="21">
        <f t="shared" si="11"/>
        <v>0</v>
      </c>
      <c r="S121" s="375">
        <f t="shared" si="18"/>
        <v>0</v>
      </c>
    </row>
    <row r="122" spans="1:19" s="22" customFormat="1" ht="29" x14ac:dyDescent="0.35">
      <c r="A122" s="19">
        <v>110</v>
      </c>
      <c r="B122" s="19" t="s">
        <v>49</v>
      </c>
      <c r="C122" s="20" t="s">
        <v>388</v>
      </c>
      <c r="D122" s="116">
        <f>'As-Filed Schedule 4'!D122</f>
        <v>0</v>
      </c>
      <c r="E122" s="387">
        <f>SUMIFS(Adjustments!$G:$G,Adjustments!$H:$H,"4",Adjustments!$I:$I,'Schedule 4 Adjustments'!$D$14,Adjustments!$J:$J,'Schedule 4 Adjustments'!$A122)</f>
        <v>0</v>
      </c>
      <c r="F122" s="379">
        <f t="shared" si="12"/>
        <v>0</v>
      </c>
      <c r="G122" s="409">
        <v>0</v>
      </c>
      <c r="H122" s="47">
        <f t="shared" si="19"/>
        <v>0</v>
      </c>
      <c r="I122" s="377">
        <f t="shared" si="13"/>
        <v>0</v>
      </c>
      <c r="J122" s="21">
        <f t="shared" si="10"/>
        <v>0</v>
      </c>
      <c r="K122" s="375">
        <f t="shared" si="14"/>
        <v>0</v>
      </c>
      <c r="L122" s="150">
        <f>'As-Filed Schedule 4'!H122</f>
        <v>0</v>
      </c>
      <c r="M122" s="387">
        <f>SUMIFS(Adjustments!$G:$G,Adjustments!$H:$H,"4",Adjustments!$I:$I,'Schedule 4 Adjustments'!$L$14,Adjustments!$J:$J,'Schedule 4 Adjustments'!$A122)</f>
        <v>0</v>
      </c>
      <c r="N122" s="379">
        <f t="shared" si="15"/>
        <v>0</v>
      </c>
      <c r="O122" s="409">
        <v>0</v>
      </c>
      <c r="P122" s="47">
        <f t="shared" si="16"/>
        <v>0</v>
      </c>
      <c r="Q122" s="377">
        <f t="shared" si="17"/>
        <v>0</v>
      </c>
      <c r="R122" s="21">
        <f t="shared" si="11"/>
        <v>0</v>
      </c>
      <c r="S122" s="375">
        <f t="shared" si="18"/>
        <v>0</v>
      </c>
    </row>
    <row r="123" spans="1:19" s="22" customFormat="1" ht="29" x14ac:dyDescent="0.35">
      <c r="A123" s="19">
        <v>111</v>
      </c>
      <c r="B123" s="19" t="s">
        <v>33</v>
      </c>
      <c r="C123" s="20" t="s">
        <v>389</v>
      </c>
      <c r="D123" s="116">
        <f>'As-Filed Schedule 4'!D123</f>
        <v>0</v>
      </c>
      <c r="E123" s="387">
        <f>SUMIFS(Adjustments!$G:$G,Adjustments!$H:$H,"4",Adjustments!$I:$I,'Schedule 4 Adjustments'!$D$14,Adjustments!$J:$J,'Schedule 4 Adjustments'!$A123)</f>
        <v>0</v>
      </c>
      <c r="F123" s="379">
        <f t="shared" si="12"/>
        <v>0</v>
      </c>
      <c r="G123" s="409">
        <v>0</v>
      </c>
      <c r="H123" s="47">
        <f t="shared" si="19"/>
        <v>0</v>
      </c>
      <c r="I123" s="377">
        <f t="shared" si="13"/>
        <v>0</v>
      </c>
      <c r="J123" s="21">
        <f t="shared" si="10"/>
        <v>0</v>
      </c>
      <c r="K123" s="375">
        <f t="shared" si="14"/>
        <v>0</v>
      </c>
      <c r="L123" s="150">
        <f>'As-Filed Schedule 4'!H123</f>
        <v>0</v>
      </c>
      <c r="M123" s="387">
        <f>SUMIFS(Adjustments!$G:$G,Adjustments!$H:$H,"4",Adjustments!$I:$I,'Schedule 4 Adjustments'!$L$14,Adjustments!$J:$J,'Schedule 4 Adjustments'!$A123)</f>
        <v>0</v>
      </c>
      <c r="N123" s="379">
        <f t="shared" si="15"/>
        <v>0</v>
      </c>
      <c r="O123" s="409">
        <v>0</v>
      </c>
      <c r="P123" s="47">
        <f t="shared" si="16"/>
        <v>0</v>
      </c>
      <c r="Q123" s="377">
        <f t="shared" si="17"/>
        <v>0</v>
      </c>
      <c r="R123" s="21">
        <f t="shared" si="11"/>
        <v>0</v>
      </c>
      <c r="S123" s="375">
        <f t="shared" si="18"/>
        <v>0</v>
      </c>
    </row>
    <row r="124" spans="1:19" s="22" customFormat="1" x14ac:dyDescent="0.35">
      <c r="A124" s="19">
        <v>112</v>
      </c>
      <c r="B124" s="19" t="s">
        <v>50</v>
      </c>
      <c r="C124" s="20" t="s">
        <v>390</v>
      </c>
      <c r="D124" s="116">
        <f>'As-Filed Schedule 4'!D124</f>
        <v>0</v>
      </c>
      <c r="E124" s="387">
        <f>SUMIFS(Adjustments!$G:$G,Adjustments!$H:$H,"4",Adjustments!$I:$I,'Schedule 4 Adjustments'!$D$14,Adjustments!$J:$J,'Schedule 4 Adjustments'!$A124)</f>
        <v>0</v>
      </c>
      <c r="F124" s="379">
        <f t="shared" si="12"/>
        <v>0</v>
      </c>
      <c r="G124" s="409">
        <v>2.64</v>
      </c>
      <c r="H124" s="47">
        <f t="shared" si="19"/>
        <v>0</v>
      </c>
      <c r="I124" s="377">
        <f t="shared" si="13"/>
        <v>0</v>
      </c>
      <c r="J124" s="21">
        <f t="shared" si="10"/>
        <v>246.18115796794001</v>
      </c>
      <c r="K124" s="375">
        <f t="shared" si="14"/>
        <v>246.18115796794001</v>
      </c>
      <c r="L124" s="150">
        <f>'As-Filed Schedule 4'!H124</f>
        <v>974</v>
      </c>
      <c r="M124" s="387">
        <f>SUMIFS(Adjustments!$G:$G,Adjustments!$H:$H,"4",Adjustments!$I:$I,'Schedule 4 Adjustments'!$L$14,Adjustments!$J:$J,'Schedule 4 Adjustments'!$A124)</f>
        <v>0</v>
      </c>
      <c r="N124" s="379">
        <f t="shared" si="15"/>
        <v>974</v>
      </c>
      <c r="O124" s="409">
        <v>2.64</v>
      </c>
      <c r="P124" s="47">
        <f t="shared" si="16"/>
        <v>2571.36</v>
      </c>
      <c r="Q124" s="377">
        <f t="shared" si="17"/>
        <v>2571.36</v>
      </c>
      <c r="R124" s="21">
        <f t="shared" si="11"/>
        <v>246.18115796794001</v>
      </c>
      <c r="S124" s="375">
        <f t="shared" si="18"/>
        <v>246.18115796794001</v>
      </c>
    </row>
    <row r="125" spans="1:19" s="22" customFormat="1" x14ac:dyDescent="0.35">
      <c r="A125" s="19">
        <v>113</v>
      </c>
      <c r="B125" s="19" t="s">
        <v>51</v>
      </c>
      <c r="C125" s="20" t="s">
        <v>133</v>
      </c>
      <c r="D125" s="116">
        <f>'As-Filed Schedule 4'!D125</f>
        <v>0</v>
      </c>
      <c r="E125" s="387">
        <f>SUMIFS(Adjustments!$G:$G,Adjustments!$H:$H,"4",Adjustments!$I:$I,'Schedule 4 Adjustments'!$D$14,Adjustments!$J:$J,'Schedule 4 Adjustments'!$A125)</f>
        <v>0</v>
      </c>
      <c r="F125" s="379">
        <f t="shared" si="12"/>
        <v>0</v>
      </c>
      <c r="G125" s="409">
        <v>0</v>
      </c>
      <c r="H125" s="47">
        <f t="shared" si="19"/>
        <v>0</v>
      </c>
      <c r="I125" s="377">
        <f t="shared" si="13"/>
        <v>0</v>
      </c>
      <c r="J125" s="21">
        <f t="shared" si="10"/>
        <v>0</v>
      </c>
      <c r="K125" s="375">
        <f t="shared" si="14"/>
        <v>0</v>
      </c>
      <c r="L125" s="150">
        <f>'As-Filed Schedule 4'!H125</f>
        <v>3151</v>
      </c>
      <c r="M125" s="387">
        <f>SUMIFS(Adjustments!$G:$G,Adjustments!$H:$H,"4",Adjustments!$I:$I,'Schedule 4 Adjustments'!$L$14,Adjustments!$J:$J,'Schedule 4 Adjustments'!$A125)</f>
        <v>0</v>
      </c>
      <c r="N125" s="379">
        <f t="shared" si="15"/>
        <v>3151</v>
      </c>
      <c r="O125" s="409">
        <v>0</v>
      </c>
      <c r="P125" s="47">
        <f t="shared" si="16"/>
        <v>0</v>
      </c>
      <c r="Q125" s="377">
        <f t="shared" si="17"/>
        <v>0</v>
      </c>
      <c r="R125" s="21">
        <f t="shared" si="11"/>
        <v>0</v>
      </c>
      <c r="S125" s="375">
        <f t="shared" si="18"/>
        <v>0</v>
      </c>
    </row>
    <row r="126" spans="1:19" s="22" customFormat="1" x14ac:dyDescent="0.35">
      <c r="A126" s="19">
        <v>114</v>
      </c>
      <c r="B126" s="19" t="s">
        <v>52</v>
      </c>
      <c r="C126" s="20" t="s">
        <v>134</v>
      </c>
      <c r="D126" s="116">
        <f>'As-Filed Schedule 4'!D126</f>
        <v>0</v>
      </c>
      <c r="E126" s="387">
        <f>SUMIFS(Adjustments!$G:$G,Adjustments!$H:$H,"4",Adjustments!$I:$I,'Schedule 4 Adjustments'!$D$14,Adjustments!$J:$J,'Schedule 4 Adjustments'!$A126)</f>
        <v>0</v>
      </c>
      <c r="F126" s="379">
        <f t="shared" si="12"/>
        <v>0</v>
      </c>
      <c r="G126" s="409">
        <v>0</v>
      </c>
      <c r="H126" s="47">
        <f t="shared" si="19"/>
        <v>0</v>
      </c>
      <c r="I126" s="377">
        <f t="shared" si="13"/>
        <v>0</v>
      </c>
      <c r="J126" s="21">
        <f t="shared" si="10"/>
        <v>0</v>
      </c>
      <c r="K126" s="375">
        <f t="shared" si="14"/>
        <v>0</v>
      </c>
      <c r="L126" s="150">
        <f>'As-Filed Schedule 4'!H126</f>
        <v>0</v>
      </c>
      <c r="M126" s="387">
        <f>SUMIFS(Adjustments!$G:$G,Adjustments!$H:$H,"4",Adjustments!$I:$I,'Schedule 4 Adjustments'!$L$14,Adjustments!$J:$J,'Schedule 4 Adjustments'!$A126)</f>
        <v>0</v>
      </c>
      <c r="N126" s="379">
        <f t="shared" si="15"/>
        <v>0</v>
      </c>
      <c r="O126" s="409">
        <v>0</v>
      </c>
      <c r="P126" s="47">
        <f t="shared" si="16"/>
        <v>0</v>
      </c>
      <c r="Q126" s="377">
        <f t="shared" si="17"/>
        <v>0</v>
      </c>
      <c r="R126" s="21">
        <f t="shared" si="11"/>
        <v>0</v>
      </c>
      <c r="S126" s="375">
        <f t="shared" si="18"/>
        <v>0</v>
      </c>
    </row>
    <row r="127" spans="1:19" s="22" customFormat="1" x14ac:dyDescent="0.35">
      <c r="A127" s="19">
        <v>115</v>
      </c>
      <c r="B127" s="19" t="s">
        <v>53</v>
      </c>
      <c r="C127" s="20" t="s">
        <v>135</v>
      </c>
      <c r="D127" s="116">
        <f>'As-Filed Schedule 4'!D127</f>
        <v>0</v>
      </c>
      <c r="E127" s="387">
        <f>SUMIFS(Adjustments!$G:$G,Adjustments!$H:$H,"4",Adjustments!$I:$I,'Schedule 4 Adjustments'!$D$14,Adjustments!$J:$J,'Schedule 4 Adjustments'!$A127)</f>
        <v>0</v>
      </c>
      <c r="F127" s="379">
        <f t="shared" si="12"/>
        <v>0</v>
      </c>
      <c r="G127" s="409">
        <v>0</v>
      </c>
      <c r="H127" s="47">
        <f t="shared" si="19"/>
        <v>0</v>
      </c>
      <c r="I127" s="377">
        <f t="shared" si="13"/>
        <v>0</v>
      </c>
      <c r="J127" s="21">
        <f t="shared" si="10"/>
        <v>0</v>
      </c>
      <c r="K127" s="375">
        <f t="shared" si="14"/>
        <v>0</v>
      </c>
      <c r="L127" s="150">
        <f>'As-Filed Schedule 4'!H127</f>
        <v>0</v>
      </c>
      <c r="M127" s="387">
        <f>SUMIFS(Adjustments!$G:$G,Adjustments!$H:$H,"4",Adjustments!$I:$I,'Schedule 4 Adjustments'!$L$14,Adjustments!$J:$J,'Schedule 4 Adjustments'!$A127)</f>
        <v>0</v>
      </c>
      <c r="N127" s="379">
        <f t="shared" si="15"/>
        <v>0</v>
      </c>
      <c r="O127" s="409">
        <v>0</v>
      </c>
      <c r="P127" s="47">
        <f t="shared" si="16"/>
        <v>0</v>
      </c>
      <c r="Q127" s="377">
        <f t="shared" si="17"/>
        <v>0</v>
      </c>
      <c r="R127" s="21">
        <f t="shared" si="11"/>
        <v>0</v>
      </c>
      <c r="S127" s="375">
        <f t="shared" si="18"/>
        <v>0</v>
      </c>
    </row>
    <row r="128" spans="1:19" s="22" customFormat="1" ht="29" x14ac:dyDescent="0.35">
      <c r="A128" s="19">
        <v>116</v>
      </c>
      <c r="B128" s="19" t="s">
        <v>54</v>
      </c>
      <c r="C128" s="20" t="s">
        <v>391</v>
      </c>
      <c r="D128" s="116">
        <f>'As-Filed Schedule 4'!D128</f>
        <v>0</v>
      </c>
      <c r="E128" s="387">
        <f>SUMIFS(Adjustments!$G:$G,Adjustments!$H:$H,"4",Adjustments!$I:$I,'Schedule 4 Adjustments'!$D$14,Adjustments!$J:$J,'Schedule 4 Adjustments'!$A128)</f>
        <v>0</v>
      </c>
      <c r="F128" s="379">
        <f t="shared" si="12"/>
        <v>0</v>
      </c>
      <c r="G128" s="409">
        <v>1.02</v>
      </c>
      <c r="H128" s="47">
        <f t="shared" si="19"/>
        <v>0</v>
      </c>
      <c r="I128" s="377">
        <f t="shared" si="13"/>
        <v>0</v>
      </c>
      <c r="J128" s="21">
        <f t="shared" si="10"/>
        <v>95.115447396704099</v>
      </c>
      <c r="K128" s="375">
        <f t="shared" si="14"/>
        <v>95.115447396704099</v>
      </c>
      <c r="L128" s="150">
        <f>'As-Filed Schedule 4'!H128</f>
        <v>0</v>
      </c>
      <c r="M128" s="387">
        <f>SUMIFS(Adjustments!$G:$G,Adjustments!$H:$H,"4",Adjustments!$I:$I,'Schedule 4 Adjustments'!$L$14,Adjustments!$J:$J,'Schedule 4 Adjustments'!$A128)</f>
        <v>0</v>
      </c>
      <c r="N128" s="379">
        <f t="shared" si="15"/>
        <v>0</v>
      </c>
      <c r="O128" s="409">
        <v>0.94</v>
      </c>
      <c r="P128" s="47">
        <f t="shared" si="16"/>
        <v>0</v>
      </c>
      <c r="Q128" s="377">
        <f t="shared" si="17"/>
        <v>0</v>
      </c>
      <c r="R128" s="21">
        <f t="shared" si="11"/>
        <v>87.655412306766507</v>
      </c>
      <c r="S128" s="375">
        <f t="shared" si="18"/>
        <v>87.655412306766507</v>
      </c>
    </row>
    <row r="129" spans="1:19" s="22" customFormat="1" x14ac:dyDescent="0.35">
      <c r="A129" s="19">
        <v>117</v>
      </c>
      <c r="B129" s="19" t="s">
        <v>22</v>
      </c>
      <c r="C129" s="20" t="s">
        <v>25</v>
      </c>
      <c r="D129" s="116">
        <f>'As-Filed Schedule 4'!D129</f>
        <v>0</v>
      </c>
      <c r="E129" s="387">
        <f>SUMIFS(Adjustments!$G:$G,Adjustments!$H:$H,"4",Adjustments!$I:$I,'Schedule 4 Adjustments'!$D$14,Adjustments!$J:$J,'Schedule 4 Adjustments'!$A129)</f>
        <v>0</v>
      </c>
      <c r="F129" s="379">
        <f t="shared" si="12"/>
        <v>0</v>
      </c>
      <c r="G129" s="409">
        <v>0</v>
      </c>
      <c r="H129" s="47">
        <f t="shared" si="19"/>
        <v>0</v>
      </c>
      <c r="I129" s="377">
        <f t="shared" si="13"/>
        <v>0</v>
      </c>
      <c r="J129" s="21">
        <f t="shared" si="10"/>
        <v>0</v>
      </c>
      <c r="K129" s="375">
        <f t="shared" si="14"/>
        <v>0</v>
      </c>
      <c r="L129" s="150">
        <f>'As-Filed Schedule 4'!H129</f>
        <v>0</v>
      </c>
      <c r="M129" s="387">
        <f>SUMIFS(Adjustments!$G:$G,Adjustments!$H:$H,"4",Adjustments!$I:$I,'Schedule 4 Adjustments'!$L$14,Adjustments!$J:$J,'Schedule 4 Adjustments'!$A129)</f>
        <v>0</v>
      </c>
      <c r="N129" s="379">
        <f t="shared" si="15"/>
        <v>0</v>
      </c>
      <c r="O129" s="409">
        <v>0</v>
      </c>
      <c r="P129" s="47">
        <f t="shared" si="16"/>
        <v>0</v>
      </c>
      <c r="Q129" s="377">
        <f t="shared" si="17"/>
        <v>0</v>
      </c>
      <c r="R129" s="21">
        <f t="shared" si="11"/>
        <v>0</v>
      </c>
      <c r="S129" s="375">
        <f t="shared" si="18"/>
        <v>0</v>
      </c>
    </row>
    <row r="130" spans="1:19" s="22" customFormat="1" x14ac:dyDescent="0.35">
      <c r="A130" s="19">
        <v>118</v>
      </c>
      <c r="B130" s="19" t="s">
        <v>55</v>
      </c>
      <c r="C130" s="20" t="s">
        <v>392</v>
      </c>
      <c r="D130" s="116">
        <f>'As-Filed Schedule 4'!D130</f>
        <v>0</v>
      </c>
      <c r="E130" s="387">
        <f>SUMIFS(Adjustments!$G:$G,Adjustments!$H:$H,"4",Adjustments!$I:$I,'Schedule 4 Adjustments'!$D$14,Adjustments!$J:$J,'Schedule 4 Adjustments'!$A130)</f>
        <v>0</v>
      </c>
      <c r="F130" s="379">
        <f t="shared" si="12"/>
        <v>0</v>
      </c>
      <c r="G130" s="409">
        <v>0.12</v>
      </c>
      <c r="H130" s="47">
        <f t="shared" si="19"/>
        <v>0</v>
      </c>
      <c r="I130" s="377">
        <f t="shared" si="13"/>
        <v>0</v>
      </c>
      <c r="J130" s="21">
        <f t="shared" si="10"/>
        <v>11.190052634906364</v>
      </c>
      <c r="K130" s="375">
        <f t="shared" si="14"/>
        <v>11.190052634906364</v>
      </c>
      <c r="L130" s="150">
        <f>'As-Filed Schedule 4'!H130</f>
        <v>0</v>
      </c>
      <c r="M130" s="387">
        <f>SUMIFS(Adjustments!$G:$G,Adjustments!$H:$H,"4",Adjustments!$I:$I,'Schedule 4 Adjustments'!$L$14,Adjustments!$J:$J,'Schedule 4 Adjustments'!$A130)</f>
        <v>0</v>
      </c>
      <c r="N130" s="379">
        <f t="shared" si="15"/>
        <v>0</v>
      </c>
      <c r="O130" s="409">
        <v>0.09</v>
      </c>
      <c r="P130" s="47">
        <f t="shared" si="16"/>
        <v>0</v>
      </c>
      <c r="Q130" s="377">
        <f t="shared" si="17"/>
        <v>0</v>
      </c>
      <c r="R130" s="21">
        <f t="shared" si="11"/>
        <v>8.3925394761797723</v>
      </c>
      <c r="S130" s="375">
        <f t="shared" si="18"/>
        <v>8.3925394761797723</v>
      </c>
    </row>
    <row r="131" spans="1:19" s="22" customFormat="1" x14ac:dyDescent="0.35">
      <c r="A131" s="19">
        <v>119</v>
      </c>
      <c r="B131" s="19" t="s">
        <v>56</v>
      </c>
      <c r="C131" s="20" t="s">
        <v>393</v>
      </c>
      <c r="D131" s="116">
        <f>'As-Filed Schedule 4'!D131</f>
        <v>2392</v>
      </c>
      <c r="E131" s="387">
        <f>SUMIFS(Adjustments!$G:$G,Adjustments!$H:$H,"4",Adjustments!$I:$I,'Schedule 4 Adjustments'!$D$14,Adjustments!$J:$J,'Schedule 4 Adjustments'!$A131)</f>
        <v>0</v>
      </c>
      <c r="F131" s="379">
        <f t="shared" si="12"/>
        <v>2392</v>
      </c>
      <c r="G131" s="409">
        <v>0.59</v>
      </c>
      <c r="H131" s="47">
        <f t="shared" si="19"/>
        <v>1411.28</v>
      </c>
      <c r="I131" s="377">
        <f t="shared" si="13"/>
        <v>1411.28</v>
      </c>
      <c r="J131" s="21">
        <f t="shared" si="10"/>
        <v>55.017758788289619</v>
      </c>
      <c r="K131" s="375">
        <f t="shared" si="14"/>
        <v>55.017758788289619</v>
      </c>
      <c r="L131" s="150">
        <f>'As-Filed Schedule 4'!H131</f>
        <v>4038</v>
      </c>
      <c r="M131" s="387">
        <f>SUMIFS(Adjustments!$G:$G,Adjustments!$H:$H,"4",Adjustments!$I:$I,'Schedule 4 Adjustments'!$L$14,Adjustments!$J:$J,'Schedule 4 Adjustments'!$A131)</f>
        <v>0</v>
      </c>
      <c r="N131" s="379">
        <f t="shared" si="15"/>
        <v>4038</v>
      </c>
      <c r="O131" s="409">
        <v>0.55000000000000004</v>
      </c>
      <c r="P131" s="47">
        <f t="shared" si="16"/>
        <v>2220.9</v>
      </c>
      <c r="Q131" s="377">
        <f t="shared" si="17"/>
        <v>2220.9</v>
      </c>
      <c r="R131" s="21">
        <f t="shared" si="11"/>
        <v>51.287741243320838</v>
      </c>
      <c r="S131" s="375">
        <f t="shared" si="18"/>
        <v>51.287741243320838</v>
      </c>
    </row>
    <row r="132" spans="1:19" s="22" customFormat="1" ht="29" x14ac:dyDescent="0.35">
      <c r="A132" s="19">
        <v>120</v>
      </c>
      <c r="B132" s="19" t="s">
        <v>57</v>
      </c>
      <c r="C132" s="20" t="s">
        <v>136</v>
      </c>
      <c r="D132" s="116">
        <f>'As-Filed Schedule 4'!D132</f>
        <v>0</v>
      </c>
      <c r="E132" s="387">
        <f>SUMIFS(Adjustments!$G:$G,Adjustments!$H:$H,"4",Adjustments!$I:$I,'Schedule 4 Adjustments'!$D$14,Adjustments!$J:$J,'Schedule 4 Adjustments'!$A132)</f>
        <v>0</v>
      </c>
      <c r="F132" s="379">
        <f t="shared" si="12"/>
        <v>0</v>
      </c>
      <c r="G132" s="409">
        <v>0.75</v>
      </c>
      <c r="H132" s="47">
        <f t="shared" si="19"/>
        <v>0</v>
      </c>
      <c r="I132" s="377">
        <f t="shared" si="13"/>
        <v>0</v>
      </c>
      <c r="J132" s="21">
        <f t="shared" si="10"/>
        <v>69.93782896816478</v>
      </c>
      <c r="K132" s="375">
        <f t="shared" si="14"/>
        <v>69.93782896816478</v>
      </c>
      <c r="L132" s="150">
        <f>'As-Filed Schedule 4'!H132</f>
        <v>0</v>
      </c>
      <c r="M132" s="387">
        <f>SUMIFS(Adjustments!$G:$G,Adjustments!$H:$H,"4",Adjustments!$I:$I,'Schedule 4 Adjustments'!$L$14,Adjustments!$J:$J,'Schedule 4 Adjustments'!$A132)</f>
        <v>0</v>
      </c>
      <c r="N132" s="379">
        <f t="shared" si="15"/>
        <v>0</v>
      </c>
      <c r="O132" s="409">
        <v>0.37</v>
      </c>
      <c r="P132" s="47">
        <f t="shared" si="16"/>
        <v>0</v>
      </c>
      <c r="Q132" s="377">
        <f t="shared" si="17"/>
        <v>0</v>
      </c>
      <c r="R132" s="21">
        <f t="shared" si="11"/>
        <v>34.50266229096129</v>
      </c>
      <c r="S132" s="375">
        <f t="shared" si="18"/>
        <v>34.50266229096129</v>
      </c>
    </row>
    <row r="133" spans="1:19" s="22" customFormat="1" ht="29" x14ac:dyDescent="0.35">
      <c r="A133" s="19">
        <v>121</v>
      </c>
      <c r="B133" s="19" t="s">
        <v>58</v>
      </c>
      <c r="C133" s="20" t="s">
        <v>137</v>
      </c>
      <c r="D133" s="116">
        <f>'As-Filed Schedule 4'!D133</f>
        <v>18214</v>
      </c>
      <c r="E133" s="387">
        <f>SUMIFS(Adjustments!$G:$G,Adjustments!$H:$H,"4",Adjustments!$I:$I,'Schedule 4 Adjustments'!$D$14,Adjustments!$J:$J,'Schedule 4 Adjustments'!$A133)</f>
        <v>0</v>
      </c>
      <c r="F133" s="379">
        <f t="shared" si="12"/>
        <v>18214</v>
      </c>
      <c r="G133" s="409">
        <v>0.75</v>
      </c>
      <c r="H133" s="47">
        <f t="shared" si="19"/>
        <v>13660.5</v>
      </c>
      <c r="I133" s="377">
        <f t="shared" si="13"/>
        <v>13660.5</v>
      </c>
      <c r="J133" s="21">
        <f t="shared" si="10"/>
        <v>69.93782896816478</v>
      </c>
      <c r="K133" s="375">
        <f t="shared" si="14"/>
        <v>69.93782896816478</v>
      </c>
      <c r="L133" s="150">
        <f>'As-Filed Schedule 4'!H133</f>
        <v>232</v>
      </c>
      <c r="M133" s="387">
        <f>SUMIFS(Adjustments!$G:$G,Adjustments!$H:$H,"4",Adjustments!$I:$I,'Schedule 4 Adjustments'!$L$14,Adjustments!$J:$J,'Schedule 4 Adjustments'!$A133)</f>
        <v>0</v>
      </c>
      <c r="N133" s="379">
        <f t="shared" si="15"/>
        <v>232</v>
      </c>
      <c r="O133" s="409">
        <v>0.37</v>
      </c>
      <c r="P133" s="47">
        <f t="shared" si="16"/>
        <v>85.84</v>
      </c>
      <c r="Q133" s="377">
        <f t="shared" si="17"/>
        <v>85.84</v>
      </c>
      <c r="R133" s="21">
        <f t="shared" si="11"/>
        <v>34.50266229096129</v>
      </c>
      <c r="S133" s="375">
        <f t="shared" si="18"/>
        <v>34.50266229096129</v>
      </c>
    </row>
    <row r="134" spans="1:19" s="22" customFormat="1" ht="43.5" x14ac:dyDescent="0.35">
      <c r="A134" s="19">
        <v>122</v>
      </c>
      <c r="B134" s="19" t="s">
        <v>15</v>
      </c>
      <c r="C134" s="20" t="s">
        <v>18</v>
      </c>
      <c r="D134" s="116">
        <f>'As-Filed Schedule 4'!D134</f>
        <v>0</v>
      </c>
      <c r="E134" s="387">
        <f>SUMIFS(Adjustments!$G:$G,Adjustments!$H:$H,"4",Adjustments!$I:$I,'Schedule 4 Adjustments'!$D$14,Adjustments!$J:$J,'Schedule 4 Adjustments'!$A134)</f>
        <v>0</v>
      </c>
      <c r="F134" s="379">
        <f t="shared" si="12"/>
        <v>0</v>
      </c>
      <c r="G134" s="409">
        <v>0</v>
      </c>
      <c r="H134" s="47">
        <f t="shared" si="19"/>
        <v>0</v>
      </c>
      <c r="I134" s="377">
        <f t="shared" si="13"/>
        <v>0</v>
      </c>
      <c r="J134" s="21">
        <f t="shared" si="10"/>
        <v>0</v>
      </c>
      <c r="K134" s="375">
        <f t="shared" si="14"/>
        <v>0</v>
      </c>
      <c r="L134" s="150">
        <f>'As-Filed Schedule 4'!H134</f>
        <v>0</v>
      </c>
      <c r="M134" s="387">
        <f>SUMIFS(Adjustments!$G:$G,Adjustments!$H:$H,"4",Adjustments!$I:$I,'Schedule 4 Adjustments'!$L$14,Adjustments!$J:$J,'Schedule 4 Adjustments'!$A134)</f>
        <v>0</v>
      </c>
      <c r="N134" s="379">
        <f t="shared" si="15"/>
        <v>0</v>
      </c>
      <c r="O134" s="409">
        <v>0</v>
      </c>
      <c r="P134" s="47">
        <f t="shared" si="16"/>
        <v>0</v>
      </c>
      <c r="Q134" s="377">
        <f t="shared" si="17"/>
        <v>0</v>
      </c>
      <c r="R134" s="21">
        <f t="shared" si="11"/>
        <v>0</v>
      </c>
      <c r="S134" s="375">
        <f t="shared" si="18"/>
        <v>0</v>
      </c>
    </row>
    <row r="135" spans="1:19" s="22" customFormat="1" ht="29" x14ac:dyDescent="0.35">
      <c r="A135" s="19">
        <v>123</v>
      </c>
      <c r="B135" s="19" t="s">
        <v>16</v>
      </c>
      <c r="C135" s="20" t="s">
        <v>138</v>
      </c>
      <c r="D135" s="116">
        <f>'As-Filed Schedule 4'!D135</f>
        <v>0</v>
      </c>
      <c r="E135" s="387">
        <f>SUMIFS(Adjustments!$G:$G,Adjustments!$H:$H,"4",Adjustments!$I:$I,'Schedule 4 Adjustments'!$D$14,Adjustments!$J:$J,'Schedule 4 Adjustments'!$A135)</f>
        <v>0</v>
      </c>
      <c r="F135" s="379">
        <f t="shared" si="12"/>
        <v>0</v>
      </c>
      <c r="G135" s="409">
        <v>0</v>
      </c>
      <c r="H135" s="47">
        <f t="shared" si="19"/>
        <v>0</v>
      </c>
      <c r="I135" s="377">
        <f t="shared" si="13"/>
        <v>0</v>
      </c>
      <c r="J135" s="21">
        <f t="shared" si="10"/>
        <v>0</v>
      </c>
      <c r="K135" s="375">
        <f t="shared" si="14"/>
        <v>0</v>
      </c>
      <c r="L135" s="150">
        <f>'As-Filed Schedule 4'!H135</f>
        <v>0</v>
      </c>
      <c r="M135" s="387">
        <f>SUMIFS(Adjustments!$G:$G,Adjustments!$H:$H,"4",Adjustments!$I:$I,'Schedule 4 Adjustments'!$L$14,Adjustments!$J:$J,'Schedule 4 Adjustments'!$A135)</f>
        <v>0</v>
      </c>
      <c r="N135" s="379">
        <f t="shared" si="15"/>
        <v>0</v>
      </c>
      <c r="O135" s="409">
        <v>0</v>
      </c>
      <c r="P135" s="47">
        <f t="shared" si="16"/>
        <v>0</v>
      </c>
      <c r="Q135" s="377">
        <f t="shared" si="17"/>
        <v>0</v>
      </c>
      <c r="R135" s="21">
        <f t="shared" si="11"/>
        <v>0</v>
      </c>
      <c r="S135" s="375">
        <f t="shared" si="18"/>
        <v>0</v>
      </c>
    </row>
    <row r="136" spans="1:19" s="22" customFormat="1" ht="29" x14ac:dyDescent="0.35">
      <c r="A136" s="19">
        <v>124</v>
      </c>
      <c r="B136" s="19" t="s">
        <v>17</v>
      </c>
      <c r="C136" s="20" t="s">
        <v>139</v>
      </c>
      <c r="D136" s="116">
        <f>'As-Filed Schedule 4'!D136</f>
        <v>0</v>
      </c>
      <c r="E136" s="387">
        <f>SUMIFS(Adjustments!$G:$G,Adjustments!$H:$H,"4",Adjustments!$I:$I,'Schedule 4 Adjustments'!$D$14,Adjustments!$J:$J,'Schedule 4 Adjustments'!$A136)</f>
        <v>0</v>
      </c>
      <c r="F136" s="379">
        <f t="shared" si="12"/>
        <v>0</v>
      </c>
      <c r="G136" s="409">
        <v>0</v>
      </c>
      <c r="H136" s="47">
        <f t="shared" si="19"/>
        <v>0</v>
      </c>
      <c r="I136" s="377">
        <f t="shared" si="13"/>
        <v>0</v>
      </c>
      <c r="J136" s="21">
        <f t="shared" si="10"/>
        <v>0</v>
      </c>
      <c r="K136" s="375">
        <f t="shared" si="14"/>
        <v>0</v>
      </c>
      <c r="L136" s="150">
        <f>'As-Filed Schedule 4'!H136</f>
        <v>0</v>
      </c>
      <c r="M136" s="387">
        <f>SUMIFS(Adjustments!$G:$G,Adjustments!$H:$H,"4",Adjustments!$I:$I,'Schedule 4 Adjustments'!$L$14,Adjustments!$J:$J,'Schedule 4 Adjustments'!$A136)</f>
        <v>0</v>
      </c>
      <c r="N136" s="379">
        <f t="shared" si="15"/>
        <v>0</v>
      </c>
      <c r="O136" s="409">
        <v>0</v>
      </c>
      <c r="P136" s="47">
        <f t="shared" si="16"/>
        <v>0</v>
      </c>
      <c r="Q136" s="377">
        <f t="shared" si="17"/>
        <v>0</v>
      </c>
      <c r="R136" s="21">
        <f t="shared" si="11"/>
        <v>0</v>
      </c>
      <c r="S136" s="375">
        <f t="shared" si="18"/>
        <v>0</v>
      </c>
    </row>
    <row r="137" spans="1:19" s="22" customFormat="1" x14ac:dyDescent="0.35">
      <c r="A137" s="19">
        <v>125</v>
      </c>
      <c r="B137" s="19" t="s">
        <v>23</v>
      </c>
      <c r="C137" s="20" t="s">
        <v>140</v>
      </c>
      <c r="D137" s="116">
        <f>'As-Filed Schedule 4'!D137</f>
        <v>0</v>
      </c>
      <c r="E137" s="387">
        <f>SUMIFS(Adjustments!$G:$G,Adjustments!$H:$H,"4",Adjustments!$I:$I,'Schedule 4 Adjustments'!$D$14,Adjustments!$J:$J,'Schedule 4 Adjustments'!$A137)</f>
        <v>0</v>
      </c>
      <c r="F137" s="379">
        <f t="shared" si="12"/>
        <v>0</v>
      </c>
      <c r="G137" s="409">
        <v>0</v>
      </c>
      <c r="H137" s="47">
        <f t="shared" si="19"/>
        <v>0</v>
      </c>
      <c r="I137" s="377">
        <f t="shared" si="13"/>
        <v>0</v>
      </c>
      <c r="J137" s="21">
        <f t="shared" si="10"/>
        <v>0</v>
      </c>
      <c r="K137" s="375">
        <f t="shared" si="14"/>
        <v>0</v>
      </c>
      <c r="L137" s="150">
        <f>'As-Filed Schedule 4'!H137</f>
        <v>0</v>
      </c>
      <c r="M137" s="387">
        <f>SUMIFS(Adjustments!$G:$G,Adjustments!$H:$H,"4",Adjustments!$I:$I,'Schedule 4 Adjustments'!$L$14,Adjustments!$J:$J,'Schedule 4 Adjustments'!$A137)</f>
        <v>0</v>
      </c>
      <c r="N137" s="379">
        <f t="shared" si="15"/>
        <v>0</v>
      </c>
      <c r="O137" s="409">
        <v>0</v>
      </c>
      <c r="P137" s="47">
        <f t="shared" si="16"/>
        <v>0</v>
      </c>
      <c r="Q137" s="377">
        <f t="shared" si="17"/>
        <v>0</v>
      </c>
      <c r="R137" s="21">
        <f t="shared" si="11"/>
        <v>0</v>
      </c>
      <c r="S137" s="375">
        <f t="shared" si="18"/>
        <v>0</v>
      </c>
    </row>
    <row r="138" spans="1:19" s="22" customFormat="1" x14ac:dyDescent="0.35">
      <c r="A138" s="19">
        <v>126</v>
      </c>
      <c r="B138" s="19" t="s">
        <v>59</v>
      </c>
      <c r="C138" s="20" t="s">
        <v>395</v>
      </c>
      <c r="D138" s="116">
        <f>'As-Filed Schedule 4'!D138</f>
        <v>0</v>
      </c>
      <c r="E138" s="387">
        <f>SUMIFS(Adjustments!$G:$G,Adjustments!$H:$H,"4",Adjustments!$I:$I,'Schedule 4 Adjustments'!$D$14,Adjustments!$J:$J,'Schedule 4 Adjustments'!$A138)</f>
        <v>0</v>
      </c>
      <c r="F138" s="379">
        <f t="shared" si="12"/>
        <v>0</v>
      </c>
      <c r="G138" s="409">
        <v>3.27</v>
      </c>
      <c r="H138" s="47">
        <f t="shared" si="19"/>
        <v>0</v>
      </c>
      <c r="I138" s="377">
        <f t="shared" si="13"/>
        <v>0</v>
      </c>
      <c r="J138" s="21">
        <f t="shared" si="10"/>
        <v>304.92893430119841</v>
      </c>
      <c r="K138" s="375">
        <f t="shared" si="14"/>
        <v>304.92893430119841</v>
      </c>
      <c r="L138" s="150">
        <f>'As-Filed Schedule 4'!H138</f>
        <v>532</v>
      </c>
      <c r="M138" s="387">
        <f>SUMIFS(Adjustments!$G:$G,Adjustments!$H:$H,"4",Adjustments!$I:$I,'Schedule 4 Adjustments'!$L$14,Adjustments!$J:$J,'Schedule 4 Adjustments'!$A138)</f>
        <v>0</v>
      </c>
      <c r="N138" s="379">
        <f t="shared" si="15"/>
        <v>532</v>
      </c>
      <c r="O138" s="409">
        <v>2.17</v>
      </c>
      <c r="P138" s="47">
        <f t="shared" si="16"/>
        <v>1154.44</v>
      </c>
      <c r="Q138" s="377">
        <f t="shared" si="17"/>
        <v>1154.44</v>
      </c>
      <c r="R138" s="21">
        <f t="shared" si="11"/>
        <v>202.35345181455673</v>
      </c>
      <c r="S138" s="375">
        <f t="shared" si="18"/>
        <v>202.35345181455673</v>
      </c>
    </row>
    <row r="139" spans="1:19" s="22" customFormat="1" x14ac:dyDescent="0.35">
      <c r="A139" s="19">
        <v>127</v>
      </c>
      <c r="B139" s="19" t="s">
        <v>60</v>
      </c>
      <c r="C139" s="20" t="s">
        <v>394</v>
      </c>
      <c r="D139" s="116">
        <f>'As-Filed Schedule 4'!D139</f>
        <v>98</v>
      </c>
      <c r="E139" s="387">
        <f>SUMIFS(Adjustments!$G:$G,Adjustments!$H:$H,"4",Adjustments!$I:$I,'Schedule 4 Adjustments'!$D$14,Adjustments!$J:$J,'Schedule 4 Adjustments'!$A139)</f>
        <v>0</v>
      </c>
      <c r="F139" s="379">
        <f t="shared" si="12"/>
        <v>98</v>
      </c>
      <c r="G139" s="409">
        <v>1.1499999999999999</v>
      </c>
      <c r="H139" s="47">
        <f t="shared" si="19"/>
        <v>112.69999999999999</v>
      </c>
      <c r="I139" s="377">
        <f t="shared" si="13"/>
        <v>112.69999999999999</v>
      </c>
      <c r="J139" s="21">
        <f t="shared" si="10"/>
        <v>107.23800441785265</v>
      </c>
      <c r="K139" s="375">
        <f t="shared" si="14"/>
        <v>107.23800441785265</v>
      </c>
      <c r="L139" s="150">
        <f>'As-Filed Schedule 4'!H139</f>
        <v>1861</v>
      </c>
      <c r="M139" s="387">
        <f>SUMIFS(Adjustments!$G:$G,Adjustments!$H:$H,"4",Adjustments!$I:$I,'Schedule 4 Adjustments'!$L$14,Adjustments!$J:$J,'Schedule 4 Adjustments'!$A139)</f>
        <v>0</v>
      </c>
      <c r="N139" s="379">
        <f t="shared" si="15"/>
        <v>1861</v>
      </c>
      <c r="O139" s="409">
        <v>0.7</v>
      </c>
      <c r="P139" s="47">
        <f t="shared" si="16"/>
        <v>1302.6999999999998</v>
      </c>
      <c r="Q139" s="377">
        <f t="shared" si="17"/>
        <v>1302.6999999999998</v>
      </c>
      <c r="R139" s="21">
        <f t="shared" si="11"/>
        <v>65.275307036953791</v>
      </c>
      <c r="S139" s="375">
        <f t="shared" si="18"/>
        <v>65.275307036953791</v>
      </c>
    </row>
    <row r="140" spans="1:19" s="22" customFormat="1" x14ac:dyDescent="0.35">
      <c r="A140" s="19">
        <v>128</v>
      </c>
      <c r="B140" s="19" t="s">
        <v>61</v>
      </c>
      <c r="C140" s="20" t="s">
        <v>141</v>
      </c>
      <c r="D140" s="116">
        <f>'As-Filed Schedule 4'!D140</f>
        <v>0</v>
      </c>
      <c r="E140" s="387">
        <f>SUMIFS(Adjustments!$G:$G,Adjustments!$H:$H,"4",Adjustments!$I:$I,'Schedule 4 Adjustments'!$D$14,Adjustments!$J:$J,'Schedule 4 Adjustments'!$A140)</f>
        <v>0</v>
      </c>
      <c r="F140" s="379">
        <f t="shared" si="12"/>
        <v>0</v>
      </c>
      <c r="G140" s="409">
        <v>0.44</v>
      </c>
      <c r="H140" s="47">
        <f t="shared" si="19"/>
        <v>0</v>
      </c>
      <c r="I140" s="377">
        <f t="shared" si="13"/>
        <v>0</v>
      </c>
      <c r="J140" s="21">
        <f t="shared" si="10"/>
        <v>41.030192994656666</v>
      </c>
      <c r="K140" s="375">
        <f t="shared" si="14"/>
        <v>41.030192994656666</v>
      </c>
      <c r="L140" s="150">
        <f>'As-Filed Schedule 4'!H140</f>
        <v>0</v>
      </c>
      <c r="M140" s="387">
        <f>SUMIFS(Adjustments!$G:$G,Adjustments!$H:$H,"4",Adjustments!$I:$I,'Schedule 4 Adjustments'!$L$14,Adjustments!$J:$J,'Schedule 4 Adjustments'!$A140)</f>
        <v>0</v>
      </c>
      <c r="N140" s="379">
        <f t="shared" si="15"/>
        <v>0</v>
      </c>
      <c r="O140" s="409">
        <v>0.44</v>
      </c>
      <c r="P140" s="47">
        <f t="shared" si="16"/>
        <v>0</v>
      </c>
      <c r="Q140" s="377">
        <f t="shared" si="17"/>
        <v>0</v>
      </c>
      <c r="R140" s="21">
        <f t="shared" si="11"/>
        <v>41.030192994656666</v>
      </c>
      <c r="S140" s="375">
        <f t="shared" si="18"/>
        <v>41.030192994656666</v>
      </c>
    </row>
    <row r="141" spans="1:19" s="22" customFormat="1" x14ac:dyDescent="0.35">
      <c r="A141" s="19">
        <v>129</v>
      </c>
      <c r="B141" s="19" t="s">
        <v>62</v>
      </c>
      <c r="C141" s="20" t="s">
        <v>396</v>
      </c>
      <c r="D141" s="116">
        <f>'As-Filed Schedule 4'!D141</f>
        <v>1208</v>
      </c>
      <c r="E141" s="387">
        <f>SUMIFS(Adjustments!$G:$G,Adjustments!$H:$H,"4",Adjustments!$I:$I,'Schedule 4 Adjustments'!$D$14,Adjustments!$J:$J,'Schedule 4 Adjustments'!$A141)</f>
        <v>0</v>
      </c>
      <c r="F141" s="379">
        <f t="shared" si="12"/>
        <v>1208</v>
      </c>
      <c r="G141" s="409">
        <v>0.92</v>
      </c>
      <c r="H141" s="47">
        <f t="shared" si="19"/>
        <v>1111.3600000000001</v>
      </c>
      <c r="I141" s="377">
        <f t="shared" si="13"/>
        <v>1111.3600000000001</v>
      </c>
      <c r="J141" s="21">
        <f t="shared" si="10"/>
        <v>85.79040353428212</v>
      </c>
      <c r="K141" s="375">
        <f t="shared" si="14"/>
        <v>85.79040353428212</v>
      </c>
      <c r="L141" s="150">
        <f>'As-Filed Schedule 4'!H141</f>
        <v>3908</v>
      </c>
      <c r="M141" s="387">
        <f>SUMIFS(Adjustments!$G:$G,Adjustments!$H:$H,"4",Adjustments!$I:$I,'Schedule 4 Adjustments'!$L$14,Adjustments!$J:$J,'Schedule 4 Adjustments'!$A141)</f>
        <v>0</v>
      </c>
      <c r="N141" s="379">
        <f t="shared" si="15"/>
        <v>3908</v>
      </c>
      <c r="O141" s="409">
        <v>0.92</v>
      </c>
      <c r="P141" s="47">
        <f t="shared" si="16"/>
        <v>3595.36</v>
      </c>
      <c r="Q141" s="377">
        <f t="shared" si="17"/>
        <v>3595.36</v>
      </c>
      <c r="R141" s="21">
        <f t="shared" si="11"/>
        <v>85.79040353428212</v>
      </c>
      <c r="S141" s="375">
        <f t="shared" si="18"/>
        <v>85.79040353428212</v>
      </c>
    </row>
    <row r="142" spans="1:19" s="22" customFormat="1" x14ac:dyDescent="0.35">
      <c r="A142" s="19">
        <v>130</v>
      </c>
      <c r="B142" s="19" t="s">
        <v>63</v>
      </c>
      <c r="C142" s="20" t="s">
        <v>397</v>
      </c>
      <c r="D142" s="116">
        <f>'As-Filed Schedule 4'!D142</f>
        <v>0</v>
      </c>
      <c r="E142" s="387">
        <f>SUMIFS(Adjustments!$G:$G,Adjustments!$H:$H,"4",Adjustments!$I:$I,'Schedule 4 Adjustments'!$D$14,Adjustments!$J:$J,'Schedule 4 Adjustments'!$A142)</f>
        <v>0</v>
      </c>
      <c r="F142" s="379">
        <f t="shared" si="12"/>
        <v>0</v>
      </c>
      <c r="G142" s="409">
        <v>5.28</v>
      </c>
      <c r="H142" s="47">
        <f t="shared" si="19"/>
        <v>0</v>
      </c>
      <c r="I142" s="377">
        <f t="shared" si="13"/>
        <v>0</v>
      </c>
      <c r="J142" s="21">
        <f t="shared" si="10"/>
        <v>492.36231593588002</v>
      </c>
      <c r="K142" s="375">
        <f t="shared" si="14"/>
        <v>492.36231593588002</v>
      </c>
      <c r="L142" s="150">
        <f>'As-Filed Schedule 4'!H142</f>
        <v>0</v>
      </c>
      <c r="M142" s="387">
        <f>SUMIFS(Adjustments!$G:$G,Adjustments!$H:$H,"4",Adjustments!$I:$I,'Schedule 4 Adjustments'!$L$14,Adjustments!$J:$J,'Schedule 4 Adjustments'!$A142)</f>
        <v>0</v>
      </c>
      <c r="N142" s="379">
        <f t="shared" si="15"/>
        <v>0</v>
      </c>
      <c r="O142" s="409">
        <v>5.28</v>
      </c>
      <c r="P142" s="47">
        <f t="shared" si="16"/>
        <v>0</v>
      </c>
      <c r="Q142" s="377">
        <f t="shared" si="17"/>
        <v>0</v>
      </c>
      <c r="R142" s="21">
        <f t="shared" si="11"/>
        <v>492.36231593588002</v>
      </c>
      <c r="S142" s="375">
        <f t="shared" si="18"/>
        <v>492.36231593588002</v>
      </c>
    </row>
    <row r="143" spans="1:19" s="22" customFormat="1" x14ac:dyDescent="0.35">
      <c r="A143" s="19">
        <v>131</v>
      </c>
      <c r="B143" s="19" t="s">
        <v>64</v>
      </c>
      <c r="C143" s="20" t="s">
        <v>399</v>
      </c>
      <c r="D143" s="116">
        <f>'As-Filed Schedule 4'!D143</f>
        <v>0</v>
      </c>
      <c r="E143" s="387">
        <f>SUMIFS(Adjustments!$G:$G,Adjustments!$H:$H,"4",Adjustments!$I:$I,'Schedule 4 Adjustments'!$D$14,Adjustments!$J:$J,'Schedule 4 Adjustments'!$A143)</f>
        <v>0</v>
      </c>
      <c r="F143" s="379">
        <f t="shared" si="12"/>
        <v>0</v>
      </c>
      <c r="G143" s="409">
        <v>0.44</v>
      </c>
      <c r="H143" s="47">
        <f t="shared" si="19"/>
        <v>0</v>
      </c>
      <c r="I143" s="377">
        <f t="shared" si="13"/>
        <v>0</v>
      </c>
      <c r="J143" s="21">
        <f t="shared" si="10"/>
        <v>41.030192994656666</v>
      </c>
      <c r="K143" s="375">
        <f t="shared" si="14"/>
        <v>41.030192994656666</v>
      </c>
      <c r="L143" s="150">
        <f>'As-Filed Schedule 4'!H143</f>
        <v>0</v>
      </c>
      <c r="M143" s="387">
        <f>SUMIFS(Adjustments!$G:$G,Adjustments!$H:$H,"4",Adjustments!$I:$I,'Schedule 4 Adjustments'!$L$14,Adjustments!$J:$J,'Schedule 4 Adjustments'!$A143)</f>
        <v>0</v>
      </c>
      <c r="N143" s="379">
        <f t="shared" si="15"/>
        <v>0</v>
      </c>
      <c r="O143" s="409">
        <v>0.44</v>
      </c>
      <c r="P143" s="47">
        <f t="shared" si="16"/>
        <v>0</v>
      </c>
      <c r="Q143" s="377">
        <f t="shared" si="17"/>
        <v>0</v>
      </c>
      <c r="R143" s="21">
        <f t="shared" si="11"/>
        <v>41.030192994656666</v>
      </c>
      <c r="S143" s="375">
        <f t="shared" si="18"/>
        <v>41.030192994656666</v>
      </c>
    </row>
    <row r="144" spans="1:19" s="22" customFormat="1" x14ac:dyDescent="0.35">
      <c r="A144" s="19">
        <v>132</v>
      </c>
      <c r="B144" s="19" t="s">
        <v>65</v>
      </c>
      <c r="C144" s="20" t="s">
        <v>398</v>
      </c>
      <c r="D144" s="116">
        <f>'As-Filed Schedule 4'!D144</f>
        <v>0</v>
      </c>
      <c r="E144" s="387">
        <f>SUMIFS(Adjustments!$G:$G,Adjustments!$H:$H,"4",Adjustments!$I:$I,'Schedule 4 Adjustments'!$D$14,Adjustments!$J:$J,'Schedule 4 Adjustments'!$A144)</f>
        <v>0</v>
      </c>
      <c r="F144" s="379">
        <f t="shared" si="12"/>
        <v>0</v>
      </c>
      <c r="G144" s="409">
        <v>5.28</v>
      </c>
      <c r="H144" s="47">
        <f t="shared" si="19"/>
        <v>0</v>
      </c>
      <c r="I144" s="377">
        <f t="shared" si="13"/>
        <v>0</v>
      </c>
      <c r="J144" s="21">
        <f t="shared" si="10"/>
        <v>492.36231593588002</v>
      </c>
      <c r="K144" s="375">
        <f t="shared" si="14"/>
        <v>492.36231593588002</v>
      </c>
      <c r="L144" s="150">
        <f>'As-Filed Schedule 4'!H144</f>
        <v>0</v>
      </c>
      <c r="M144" s="387">
        <f>SUMIFS(Adjustments!$G:$G,Adjustments!$H:$H,"4",Adjustments!$I:$I,'Schedule 4 Adjustments'!$L$14,Adjustments!$J:$J,'Schedule 4 Adjustments'!$A144)</f>
        <v>0</v>
      </c>
      <c r="N144" s="379">
        <f t="shared" si="15"/>
        <v>0</v>
      </c>
      <c r="O144" s="409">
        <v>5.28</v>
      </c>
      <c r="P144" s="47">
        <f t="shared" si="16"/>
        <v>0</v>
      </c>
      <c r="Q144" s="377">
        <f t="shared" si="17"/>
        <v>0</v>
      </c>
      <c r="R144" s="21">
        <f t="shared" si="11"/>
        <v>492.36231593588002</v>
      </c>
      <c r="S144" s="375">
        <f t="shared" si="18"/>
        <v>492.36231593588002</v>
      </c>
    </row>
    <row r="145" spans="1:19" s="22" customFormat="1" x14ac:dyDescent="0.35">
      <c r="A145" s="19">
        <v>133</v>
      </c>
      <c r="B145" s="19" t="s">
        <v>66</v>
      </c>
      <c r="C145" s="20" t="s">
        <v>142</v>
      </c>
      <c r="D145" s="116">
        <f>'As-Filed Schedule 4'!D145</f>
        <v>1403</v>
      </c>
      <c r="E145" s="387">
        <f>SUMIFS(Adjustments!$G:$G,Adjustments!$H:$H,"4",Adjustments!$I:$I,'Schedule 4 Adjustments'!$D$14,Adjustments!$J:$J,'Schedule 4 Adjustments'!$A145)</f>
        <v>0</v>
      </c>
      <c r="F145" s="379">
        <f t="shared" si="12"/>
        <v>1403</v>
      </c>
      <c r="G145" s="409">
        <v>0.54</v>
      </c>
      <c r="H145" s="47">
        <f t="shared" si="19"/>
        <v>757.62</v>
      </c>
      <c r="I145" s="377">
        <f t="shared" si="13"/>
        <v>757.62</v>
      </c>
      <c r="J145" s="21">
        <f t="shared" si="10"/>
        <v>50.355236857078637</v>
      </c>
      <c r="K145" s="375">
        <f t="shared" si="14"/>
        <v>50.355236857078637</v>
      </c>
      <c r="L145" s="150">
        <f>'As-Filed Schedule 4'!H145</f>
        <v>3544</v>
      </c>
      <c r="M145" s="387">
        <f>SUMIFS(Adjustments!$G:$G,Adjustments!$H:$H,"4",Adjustments!$I:$I,'Schedule 4 Adjustments'!$L$14,Adjustments!$J:$J,'Schedule 4 Adjustments'!$A145)</f>
        <v>0</v>
      </c>
      <c r="N145" s="379">
        <f t="shared" si="15"/>
        <v>3544</v>
      </c>
      <c r="O145" s="409">
        <v>0.54</v>
      </c>
      <c r="P145" s="47">
        <f t="shared" si="16"/>
        <v>1913.7600000000002</v>
      </c>
      <c r="Q145" s="377">
        <f t="shared" si="17"/>
        <v>1913.7600000000002</v>
      </c>
      <c r="R145" s="21">
        <f t="shared" si="11"/>
        <v>50.355236857078637</v>
      </c>
      <c r="S145" s="375">
        <f t="shared" si="18"/>
        <v>50.355236857078637</v>
      </c>
    </row>
    <row r="146" spans="1:19" s="22" customFormat="1" x14ac:dyDescent="0.35">
      <c r="A146" s="19">
        <v>134</v>
      </c>
      <c r="B146" s="19" t="s">
        <v>67</v>
      </c>
      <c r="C146" s="20" t="s">
        <v>400</v>
      </c>
      <c r="D146" s="116">
        <f>'As-Filed Schedule 4'!D146</f>
        <v>3352</v>
      </c>
      <c r="E146" s="387">
        <f>SUMIFS(Adjustments!$G:$G,Adjustments!$H:$H,"4",Adjustments!$I:$I,'Schedule 4 Adjustments'!$D$14,Adjustments!$J:$J,'Schedule 4 Adjustments'!$A146)</f>
        <v>0</v>
      </c>
      <c r="F146" s="379">
        <f t="shared" si="12"/>
        <v>3352</v>
      </c>
      <c r="G146" s="409">
        <v>1.29</v>
      </c>
      <c r="H146" s="47">
        <f t="shared" si="19"/>
        <v>4324.08</v>
      </c>
      <c r="I146" s="377">
        <f t="shared" si="13"/>
        <v>4324.08</v>
      </c>
      <c r="J146" s="21">
        <f t="shared" ref="J146:J196" si="20">G146*$H$12</f>
        <v>120.29306582524342</v>
      </c>
      <c r="K146" s="375">
        <f t="shared" si="14"/>
        <v>120.29306582524342</v>
      </c>
      <c r="L146" s="150">
        <f>'As-Filed Schedule 4'!H146</f>
        <v>23252</v>
      </c>
      <c r="M146" s="387">
        <f>SUMIFS(Adjustments!$G:$G,Adjustments!$H:$H,"4",Adjustments!$I:$I,'Schedule 4 Adjustments'!$L$14,Adjustments!$J:$J,'Schedule 4 Adjustments'!$A146)</f>
        <v>0</v>
      </c>
      <c r="N146" s="379">
        <f t="shared" si="15"/>
        <v>23252</v>
      </c>
      <c r="O146" s="409">
        <v>1.1299999999999999</v>
      </c>
      <c r="P146" s="47">
        <f t="shared" si="16"/>
        <v>26274.76</v>
      </c>
      <c r="Q146" s="377">
        <f t="shared" si="17"/>
        <v>26274.76</v>
      </c>
      <c r="R146" s="21">
        <f t="shared" ref="R146:R196" si="21">O146*$H$12</f>
        <v>105.37299564536825</v>
      </c>
      <c r="S146" s="375">
        <f t="shared" si="18"/>
        <v>105.37299564536825</v>
      </c>
    </row>
    <row r="147" spans="1:19" s="22" customFormat="1" x14ac:dyDescent="0.35">
      <c r="A147" s="19">
        <v>135</v>
      </c>
      <c r="B147" s="19" t="s">
        <v>68</v>
      </c>
      <c r="C147" s="20" t="s">
        <v>401</v>
      </c>
      <c r="D147" s="116">
        <f>'As-Filed Schedule 4'!D147</f>
        <v>0</v>
      </c>
      <c r="E147" s="387">
        <f>SUMIFS(Adjustments!$G:$G,Adjustments!$H:$H,"4",Adjustments!$I:$I,'Schedule 4 Adjustments'!$D$14,Adjustments!$J:$J,'Schedule 4 Adjustments'!$A147)</f>
        <v>0</v>
      </c>
      <c r="F147" s="379">
        <f t="shared" ref="F147:F196" si="22">SUM(D147:E147)</f>
        <v>0</v>
      </c>
      <c r="G147" s="409">
        <v>5.28</v>
      </c>
      <c r="H147" s="47">
        <f t="shared" si="19"/>
        <v>0</v>
      </c>
      <c r="I147" s="377">
        <f t="shared" ref="I147:I196" si="23">F147*G147</f>
        <v>0</v>
      </c>
      <c r="J147" s="21">
        <f t="shared" si="20"/>
        <v>492.36231593588002</v>
      </c>
      <c r="K147" s="375">
        <f t="shared" ref="K147:K196" si="24">G147*$I$12</f>
        <v>492.36231593588002</v>
      </c>
      <c r="L147" s="150">
        <f>'As-Filed Schedule 4'!H147</f>
        <v>17</v>
      </c>
      <c r="M147" s="387">
        <f>SUMIFS(Adjustments!$G:$G,Adjustments!$H:$H,"4",Adjustments!$I:$I,'Schedule 4 Adjustments'!$L$14,Adjustments!$J:$J,'Schedule 4 Adjustments'!$A147)</f>
        <v>0</v>
      </c>
      <c r="N147" s="379">
        <f t="shared" ref="N147:N196" si="25">SUM(L147:M147)</f>
        <v>17</v>
      </c>
      <c r="O147" s="409">
        <v>5.28</v>
      </c>
      <c r="P147" s="47">
        <f t="shared" ref="P147:P196" si="26">L147*O147</f>
        <v>89.76</v>
      </c>
      <c r="Q147" s="377">
        <f t="shared" ref="Q147:Q196" si="27">N147*O147</f>
        <v>89.76</v>
      </c>
      <c r="R147" s="21">
        <f t="shared" si="21"/>
        <v>492.36231593588002</v>
      </c>
      <c r="S147" s="375">
        <f t="shared" ref="S147:S196" si="28">O147*$I$12</f>
        <v>492.36231593588002</v>
      </c>
    </row>
    <row r="148" spans="1:19" s="22" customFormat="1" x14ac:dyDescent="0.35">
      <c r="A148" s="19">
        <v>136</v>
      </c>
      <c r="B148" s="19" t="s">
        <v>69</v>
      </c>
      <c r="C148" s="20" t="s">
        <v>402</v>
      </c>
      <c r="D148" s="116">
        <f>'As-Filed Schedule 4'!D148</f>
        <v>0</v>
      </c>
      <c r="E148" s="387">
        <f>SUMIFS(Adjustments!$G:$G,Adjustments!$H:$H,"4",Adjustments!$I:$I,'Schedule 4 Adjustments'!$D$14,Adjustments!$J:$J,'Schedule 4 Adjustments'!$A148)</f>
        <v>0</v>
      </c>
      <c r="F148" s="379">
        <f t="shared" si="22"/>
        <v>0</v>
      </c>
      <c r="G148" s="409">
        <v>0.14000000000000001</v>
      </c>
      <c r="H148" s="47">
        <f t="shared" ref="H148:H196" si="29">D148*G148</f>
        <v>0</v>
      </c>
      <c r="I148" s="377">
        <f t="shared" si="23"/>
        <v>0</v>
      </c>
      <c r="J148" s="21">
        <f t="shared" si="20"/>
        <v>13.05506140739076</v>
      </c>
      <c r="K148" s="375">
        <f t="shared" si="24"/>
        <v>13.05506140739076</v>
      </c>
      <c r="L148" s="150">
        <f>'As-Filed Schedule 4'!H148</f>
        <v>0</v>
      </c>
      <c r="M148" s="387">
        <f>SUMIFS(Adjustments!$G:$G,Adjustments!$H:$H,"4",Adjustments!$I:$I,'Schedule 4 Adjustments'!$L$14,Adjustments!$J:$J,'Schedule 4 Adjustments'!$A148)</f>
        <v>0</v>
      </c>
      <c r="N148" s="379">
        <f t="shared" si="25"/>
        <v>0</v>
      </c>
      <c r="O148" s="409">
        <v>0.12</v>
      </c>
      <c r="P148" s="47">
        <f t="shared" si="26"/>
        <v>0</v>
      </c>
      <c r="Q148" s="377">
        <f t="shared" si="27"/>
        <v>0</v>
      </c>
      <c r="R148" s="21">
        <f t="shared" si="21"/>
        <v>11.190052634906364</v>
      </c>
      <c r="S148" s="375">
        <f t="shared" si="28"/>
        <v>11.190052634906364</v>
      </c>
    </row>
    <row r="149" spans="1:19" s="22" customFormat="1" x14ac:dyDescent="0.35">
      <c r="A149" s="19">
        <v>137</v>
      </c>
      <c r="B149" s="19" t="s">
        <v>70</v>
      </c>
      <c r="C149" s="20" t="s">
        <v>403</v>
      </c>
      <c r="D149" s="116">
        <f>'As-Filed Schedule 4'!D149</f>
        <v>0</v>
      </c>
      <c r="E149" s="387">
        <f>SUMIFS(Adjustments!$G:$G,Adjustments!$H:$H,"4",Adjustments!$I:$I,'Schedule 4 Adjustments'!$D$14,Adjustments!$J:$J,'Schedule 4 Adjustments'!$A149)</f>
        <v>0</v>
      </c>
      <c r="F149" s="379">
        <f t="shared" si="22"/>
        <v>0</v>
      </c>
      <c r="G149" s="409">
        <v>3.08</v>
      </c>
      <c r="H149" s="47">
        <f t="shared" si="29"/>
        <v>0</v>
      </c>
      <c r="I149" s="377">
        <f t="shared" si="23"/>
        <v>0</v>
      </c>
      <c r="J149" s="21">
        <f t="shared" si="20"/>
        <v>287.21135096259667</v>
      </c>
      <c r="K149" s="375">
        <f t="shared" si="24"/>
        <v>287.21135096259667</v>
      </c>
      <c r="L149" s="150">
        <f>'As-Filed Schedule 4'!H149</f>
        <v>0</v>
      </c>
      <c r="M149" s="387">
        <f>SUMIFS(Adjustments!$G:$G,Adjustments!$H:$H,"4",Adjustments!$I:$I,'Schedule 4 Adjustments'!$L$14,Adjustments!$J:$J,'Schedule 4 Adjustments'!$A149)</f>
        <v>0</v>
      </c>
      <c r="N149" s="379">
        <f t="shared" si="25"/>
        <v>0</v>
      </c>
      <c r="O149" s="409">
        <v>2.6399999999999997</v>
      </c>
      <c r="P149" s="47">
        <f t="shared" si="26"/>
        <v>0</v>
      </c>
      <c r="Q149" s="377">
        <f t="shared" si="27"/>
        <v>0</v>
      </c>
      <c r="R149" s="21">
        <f t="shared" si="21"/>
        <v>246.18115796793998</v>
      </c>
      <c r="S149" s="375">
        <f t="shared" si="28"/>
        <v>246.18115796793998</v>
      </c>
    </row>
    <row r="150" spans="1:19" s="22" customFormat="1" x14ac:dyDescent="0.35">
      <c r="A150" s="19">
        <v>138</v>
      </c>
      <c r="B150" s="19" t="s">
        <v>71</v>
      </c>
      <c r="C150" s="20" t="s">
        <v>404</v>
      </c>
      <c r="D150" s="116">
        <f>'As-Filed Schedule 4'!D150</f>
        <v>0</v>
      </c>
      <c r="E150" s="387">
        <f>SUMIFS(Adjustments!$G:$G,Adjustments!$H:$H,"4",Adjustments!$I:$I,'Schedule 4 Adjustments'!$D$14,Adjustments!$J:$J,'Schedule 4 Adjustments'!$A150)</f>
        <v>0</v>
      </c>
      <c r="F150" s="379">
        <f t="shared" si="22"/>
        <v>0</v>
      </c>
      <c r="G150" s="409">
        <v>5.28</v>
      </c>
      <c r="H150" s="47">
        <f t="shared" si="29"/>
        <v>0</v>
      </c>
      <c r="I150" s="377">
        <f t="shared" si="23"/>
        <v>0</v>
      </c>
      <c r="J150" s="21">
        <f t="shared" si="20"/>
        <v>492.36231593588002</v>
      </c>
      <c r="K150" s="375">
        <f t="shared" si="24"/>
        <v>492.36231593588002</v>
      </c>
      <c r="L150" s="150">
        <f>'As-Filed Schedule 4'!H150</f>
        <v>0</v>
      </c>
      <c r="M150" s="387">
        <f>SUMIFS(Adjustments!$G:$G,Adjustments!$H:$H,"4",Adjustments!$I:$I,'Schedule 4 Adjustments'!$L$14,Adjustments!$J:$J,'Schedule 4 Adjustments'!$A150)</f>
        <v>0</v>
      </c>
      <c r="N150" s="379">
        <f t="shared" si="25"/>
        <v>0</v>
      </c>
      <c r="O150" s="409">
        <v>5.28</v>
      </c>
      <c r="P150" s="47">
        <f t="shared" si="26"/>
        <v>0</v>
      </c>
      <c r="Q150" s="377">
        <f t="shared" si="27"/>
        <v>0</v>
      </c>
      <c r="R150" s="21">
        <f t="shared" si="21"/>
        <v>492.36231593588002</v>
      </c>
      <c r="S150" s="375">
        <f t="shared" si="28"/>
        <v>492.36231593588002</v>
      </c>
    </row>
    <row r="151" spans="1:19" s="22" customFormat="1" x14ac:dyDescent="0.35">
      <c r="A151" s="19">
        <v>139</v>
      </c>
      <c r="B151" s="19" t="s">
        <v>789</v>
      </c>
      <c r="C151" s="20" t="s">
        <v>790</v>
      </c>
      <c r="D151" s="116">
        <f>'As-Filed Schedule 4'!D151</f>
        <v>0</v>
      </c>
      <c r="E151" s="387">
        <f>SUMIFS(Adjustments!$G:$G,Adjustments!$H:$H,"4",Adjustments!$I:$I,'Schedule 4 Adjustments'!$D$14,Adjustments!$J:$J,'Schedule 4 Adjustments'!$A151)</f>
        <v>0</v>
      </c>
      <c r="F151" s="379">
        <f t="shared" ref="F151" si="30">SUM(D151:E151)</f>
        <v>0</v>
      </c>
      <c r="G151" s="409">
        <v>0.12</v>
      </c>
      <c r="H151" s="47">
        <f t="shared" ref="H151" si="31">D151*G151</f>
        <v>0</v>
      </c>
      <c r="I151" s="377">
        <f t="shared" ref="I151" si="32">F151*G151</f>
        <v>0</v>
      </c>
      <c r="J151" s="21">
        <f t="shared" ref="J151" si="33">G151*$H$12</f>
        <v>11.190052634906364</v>
      </c>
      <c r="K151" s="375">
        <f t="shared" ref="K151" si="34">G151*$I$12</f>
        <v>11.190052634906364</v>
      </c>
      <c r="L151" s="150">
        <f>'As-Filed Schedule 4'!H151</f>
        <v>0</v>
      </c>
      <c r="M151" s="387">
        <f>SUMIFS(Adjustments!$G:$G,Adjustments!$H:$H,"4",Adjustments!$I:$I,'Schedule 4 Adjustments'!$L$14,Adjustments!$J:$J,'Schedule 4 Adjustments'!$A151)</f>
        <v>0</v>
      </c>
      <c r="N151" s="379">
        <f t="shared" ref="N151" si="35">SUM(L151:M151)</f>
        <v>0</v>
      </c>
      <c r="O151" s="409">
        <v>0.09</v>
      </c>
      <c r="P151" s="47">
        <f t="shared" ref="P151" si="36">L151*O151</f>
        <v>0</v>
      </c>
      <c r="Q151" s="377">
        <f t="shared" ref="Q151" si="37">N151*O151</f>
        <v>0</v>
      </c>
      <c r="R151" s="21">
        <f t="shared" ref="R151" si="38">O151*$H$12</f>
        <v>8.3925394761797723</v>
      </c>
      <c r="S151" s="375">
        <f t="shared" ref="S151" si="39">O151*$I$12</f>
        <v>8.3925394761797723</v>
      </c>
    </row>
    <row r="152" spans="1:19" s="22" customFormat="1" x14ac:dyDescent="0.35">
      <c r="A152" s="19">
        <v>140</v>
      </c>
      <c r="B152" s="19" t="s">
        <v>72</v>
      </c>
      <c r="C152" s="20" t="s">
        <v>405</v>
      </c>
      <c r="D152" s="116">
        <f>'As-Filed Schedule 4'!D152</f>
        <v>0</v>
      </c>
      <c r="E152" s="387">
        <f>SUMIFS(Adjustments!$G:$G,Adjustments!$H:$H,"4",Adjustments!$I:$I,'Schedule 4 Adjustments'!$D$14,Adjustments!$J:$J,'Schedule 4 Adjustments'!$A152)</f>
        <v>0</v>
      </c>
      <c r="F152" s="379">
        <f t="shared" si="22"/>
        <v>0</v>
      </c>
      <c r="G152" s="409">
        <v>1.02</v>
      </c>
      <c r="H152" s="47">
        <f t="shared" si="29"/>
        <v>0</v>
      </c>
      <c r="I152" s="377">
        <f t="shared" si="23"/>
        <v>0</v>
      </c>
      <c r="J152" s="21">
        <f t="shared" si="20"/>
        <v>95.115447396704099</v>
      </c>
      <c r="K152" s="375">
        <f t="shared" si="24"/>
        <v>95.115447396704099</v>
      </c>
      <c r="L152" s="150">
        <f>'As-Filed Schedule 4'!H152</f>
        <v>0</v>
      </c>
      <c r="M152" s="387">
        <f>SUMIFS(Adjustments!$G:$G,Adjustments!$H:$H,"4",Adjustments!$I:$I,'Schedule 4 Adjustments'!$L$14,Adjustments!$J:$J,'Schedule 4 Adjustments'!$A152)</f>
        <v>0</v>
      </c>
      <c r="N152" s="379">
        <f t="shared" si="25"/>
        <v>0</v>
      </c>
      <c r="O152" s="409">
        <v>0.94</v>
      </c>
      <c r="P152" s="47">
        <f t="shared" si="26"/>
        <v>0</v>
      </c>
      <c r="Q152" s="377">
        <f t="shared" si="27"/>
        <v>0</v>
      </c>
      <c r="R152" s="21">
        <f t="shared" si="21"/>
        <v>87.655412306766507</v>
      </c>
      <c r="S152" s="375">
        <f t="shared" si="28"/>
        <v>87.655412306766507</v>
      </c>
    </row>
    <row r="153" spans="1:19" s="22" customFormat="1" x14ac:dyDescent="0.35">
      <c r="A153" s="19">
        <v>141</v>
      </c>
      <c r="B153" s="19" t="s">
        <v>20</v>
      </c>
      <c r="C153" s="20" t="s">
        <v>406</v>
      </c>
      <c r="D153" s="116">
        <f>'As-Filed Schedule 4'!D153</f>
        <v>0</v>
      </c>
      <c r="E153" s="387">
        <f>SUMIFS(Adjustments!$G:$G,Adjustments!$H:$H,"4",Adjustments!$I:$I,'Schedule 4 Adjustments'!$D$14,Adjustments!$J:$J,'Schedule 4 Adjustments'!$A153)</f>
        <v>0</v>
      </c>
      <c r="F153" s="379">
        <f t="shared" si="22"/>
        <v>0</v>
      </c>
      <c r="G153" s="409">
        <v>0</v>
      </c>
      <c r="H153" s="47">
        <f t="shared" si="29"/>
        <v>0</v>
      </c>
      <c r="I153" s="377">
        <f t="shared" si="23"/>
        <v>0</v>
      </c>
      <c r="J153" s="21">
        <f t="shared" si="20"/>
        <v>0</v>
      </c>
      <c r="K153" s="375">
        <f t="shared" si="24"/>
        <v>0</v>
      </c>
      <c r="L153" s="150">
        <f>'As-Filed Schedule 4'!H153</f>
        <v>0</v>
      </c>
      <c r="M153" s="387">
        <f>SUMIFS(Adjustments!$G:$G,Adjustments!$H:$H,"4",Adjustments!$I:$I,'Schedule 4 Adjustments'!$L$14,Adjustments!$J:$J,'Schedule 4 Adjustments'!$A153)</f>
        <v>0</v>
      </c>
      <c r="N153" s="379">
        <f t="shared" si="25"/>
        <v>0</v>
      </c>
      <c r="O153" s="409">
        <v>0</v>
      </c>
      <c r="P153" s="47">
        <f t="shared" si="26"/>
        <v>0</v>
      </c>
      <c r="Q153" s="377">
        <f t="shared" si="27"/>
        <v>0</v>
      </c>
      <c r="R153" s="21">
        <f t="shared" si="21"/>
        <v>0</v>
      </c>
      <c r="S153" s="375">
        <f t="shared" si="28"/>
        <v>0</v>
      </c>
    </row>
    <row r="154" spans="1:19" s="22" customFormat="1" x14ac:dyDescent="0.35">
      <c r="A154" s="19">
        <v>142</v>
      </c>
      <c r="B154" s="19" t="s">
        <v>73</v>
      </c>
      <c r="C154" s="20" t="s">
        <v>143</v>
      </c>
      <c r="D154" s="116">
        <f>'As-Filed Schedule 4'!D154</f>
        <v>0</v>
      </c>
      <c r="E154" s="387">
        <f>SUMIFS(Adjustments!$G:$G,Adjustments!$H:$H,"4",Adjustments!$I:$I,'Schedule 4 Adjustments'!$D$14,Adjustments!$J:$J,'Schedule 4 Adjustments'!$A154)</f>
        <v>0</v>
      </c>
      <c r="F154" s="379">
        <f t="shared" si="22"/>
        <v>0</v>
      </c>
      <c r="G154" s="409">
        <v>5.17</v>
      </c>
      <c r="H154" s="47">
        <f t="shared" si="29"/>
        <v>0</v>
      </c>
      <c r="I154" s="377">
        <f t="shared" si="23"/>
        <v>0</v>
      </c>
      <c r="J154" s="21">
        <f t="shared" si="20"/>
        <v>482.10476768721583</v>
      </c>
      <c r="K154" s="375">
        <f t="shared" si="24"/>
        <v>482.10476768721583</v>
      </c>
      <c r="L154" s="150">
        <f>'As-Filed Schedule 4'!H154</f>
        <v>0</v>
      </c>
      <c r="M154" s="387">
        <f>SUMIFS(Adjustments!$G:$G,Adjustments!$H:$H,"4",Adjustments!$I:$I,'Schedule 4 Adjustments'!$L$14,Adjustments!$J:$J,'Schedule 4 Adjustments'!$A154)</f>
        <v>0</v>
      </c>
      <c r="N154" s="379">
        <f t="shared" si="25"/>
        <v>0</v>
      </c>
      <c r="O154" s="409">
        <v>4.43</v>
      </c>
      <c r="P154" s="47">
        <f t="shared" si="26"/>
        <v>0</v>
      </c>
      <c r="Q154" s="377">
        <f t="shared" si="27"/>
        <v>0</v>
      </c>
      <c r="R154" s="21">
        <f t="shared" si="21"/>
        <v>413.09944310529323</v>
      </c>
      <c r="S154" s="375">
        <f t="shared" si="28"/>
        <v>413.09944310529323</v>
      </c>
    </row>
    <row r="155" spans="1:19" s="22" customFormat="1" x14ac:dyDescent="0.35">
      <c r="A155" s="19">
        <v>143</v>
      </c>
      <c r="B155" s="19" t="s">
        <v>74</v>
      </c>
      <c r="C155" s="20" t="s">
        <v>144</v>
      </c>
      <c r="D155" s="116">
        <f>'As-Filed Schedule 4'!D155</f>
        <v>0</v>
      </c>
      <c r="E155" s="387">
        <f>SUMIFS(Adjustments!$G:$G,Adjustments!$H:$H,"4",Adjustments!$I:$I,'Schedule 4 Adjustments'!$D$14,Adjustments!$J:$J,'Schedule 4 Adjustments'!$A155)</f>
        <v>0</v>
      </c>
      <c r="F155" s="379">
        <f t="shared" si="22"/>
        <v>0</v>
      </c>
      <c r="G155" s="409">
        <v>1.7</v>
      </c>
      <c r="H155" s="47">
        <f t="shared" si="29"/>
        <v>0</v>
      </c>
      <c r="I155" s="377">
        <f t="shared" si="23"/>
        <v>0</v>
      </c>
      <c r="J155" s="21">
        <f t="shared" si="20"/>
        <v>158.52574566117349</v>
      </c>
      <c r="K155" s="375">
        <f t="shared" si="24"/>
        <v>158.52574566117349</v>
      </c>
      <c r="L155" s="150">
        <f>'As-Filed Schedule 4'!H155</f>
        <v>0</v>
      </c>
      <c r="M155" s="387">
        <f>SUMIFS(Adjustments!$G:$G,Adjustments!$H:$H,"4",Adjustments!$I:$I,'Schedule 4 Adjustments'!$L$14,Adjustments!$J:$J,'Schedule 4 Adjustments'!$A155)</f>
        <v>0</v>
      </c>
      <c r="N155" s="379">
        <f t="shared" si="25"/>
        <v>0</v>
      </c>
      <c r="O155" s="409">
        <v>1.05</v>
      </c>
      <c r="P155" s="47">
        <f t="shared" si="26"/>
        <v>0</v>
      </c>
      <c r="Q155" s="377">
        <f t="shared" si="27"/>
        <v>0</v>
      </c>
      <c r="R155" s="21">
        <f t="shared" si="21"/>
        <v>97.912960555430686</v>
      </c>
      <c r="S155" s="375">
        <f t="shared" si="28"/>
        <v>97.912960555430686</v>
      </c>
    </row>
    <row r="156" spans="1:19" s="22" customFormat="1" x14ac:dyDescent="0.35">
      <c r="A156" s="19">
        <v>144</v>
      </c>
      <c r="B156" s="19" t="s">
        <v>26</v>
      </c>
      <c r="C156" s="20" t="s">
        <v>143</v>
      </c>
      <c r="D156" s="116">
        <f>'As-Filed Schedule 4'!D156</f>
        <v>0</v>
      </c>
      <c r="E156" s="387">
        <f>SUMIFS(Adjustments!$G:$G,Adjustments!$H:$H,"4",Adjustments!$I:$I,'Schedule 4 Adjustments'!$D$14,Adjustments!$J:$J,'Schedule 4 Adjustments'!$A156)</f>
        <v>0</v>
      </c>
      <c r="F156" s="379">
        <f t="shared" si="22"/>
        <v>0</v>
      </c>
      <c r="G156" s="409">
        <v>0</v>
      </c>
      <c r="H156" s="47">
        <f t="shared" si="29"/>
        <v>0</v>
      </c>
      <c r="I156" s="377">
        <f t="shared" si="23"/>
        <v>0</v>
      </c>
      <c r="J156" s="21">
        <f t="shared" si="20"/>
        <v>0</v>
      </c>
      <c r="K156" s="375">
        <f t="shared" si="24"/>
        <v>0</v>
      </c>
      <c r="L156" s="150">
        <f>'As-Filed Schedule 4'!H156</f>
        <v>0</v>
      </c>
      <c r="M156" s="387">
        <f>SUMIFS(Adjustments!$G:$G,Adjustments!$H:$H,"4",Adjustments!$I:$I,'Schedule 4 Adjustments'!$L$14,Adjustments!$J:$J,'Schedule 4 Adjustments'!$A156)</f>
        <v>0</v>
      </c>
      <c r="N156" s="379">
        <f t="shared" si="25"/>
        <v>0</v>
      </c>
      <c r="O156" s="409">
        <v>0</v>
      </c>
      <c r="P156" s="47">
        <f t="shared" si="26"/>
        <v>0</v>
      </c>
      <c r="Q156" s="377">
        <f t="shared" si="27"/>
        <v>0</v>
      </c>
      <c r="R156" s="21">
        <f t="shared" si="21"/>
        <v>0</v>
      </c>
      <c r="S156" s="375">
        <f t="shared" si="28"/>
        <v>0</v>
      </c>
    </row>
    <row r="157" spans="1:19" s="22" customFormat="1" x14ac:dyDescent="0.35">
      <c r="A157" s="19">
        <v>145</v>
      </c>
      <c r="B157" s="19" t="s">
        <v>75</v>
      </c>
      <c r="C157" s="20" t="s">
        <v>145</v>
      </c>
      <c r="D157" s="116">
        <f>'As-Filed Schedule 4'!D157</f>
        <v>0</v>
      </c>
      <c r="E157" s="387">
        <f>SUMIFS(Adjustments!$G:$G,Adjustments!$H:$H,"4",Adjustments!$I:$I,'Schedule 4 Adjustments'!$D$14,Adjustments!$J:$J,'Schedule 4 Adjustments'!$A157)</f>
        <v>0</v>
      </c>
      <c r="F157" s="379">
        <f t="shared" si="22"/>
        <v>0</v>
      </c>
      <c r="G157" s="409">
        <v>1.35</v>
      </c>
      <c r="H157" s="47">
        <f t="shared" si="29"/>
        <v>0</v>
      </c>
      <c r="I157" s="377">
        <f t="shared" si="23"/>
        <v>0</v>
      </c>
      <c r="J157" s="21">
        <f t="shared" si="20"/>
        <v>125.88809214269659</v>
      </c>
      <c r="K157" s="375">
        <f t="shared" si="24"/>
        <v>125.88809214269659</v>
      </c>
      <c r="L157" s="150">
        <f>'As-Filed Schedule 4'!H157</f>
        <v>0</v>
      </c>
      <c r="M157" s="387">
        <f>SUMIFS(Adjustments!$G:$G,Adjustments!$H:$H,"4",Adjustments!$I:$I,'Schedule 4 Adjustments'!$L$14,Adjustments!$J:$J,'Schedule 4 Adjustments'!$A157)</f>
        <v>0</v>
      </c>
      <c r="N157" s="379">
        <f t="shared" si="25"/>
        <v>0</v>
      </c>
      <c r="O157" s="409">
        <v>1.35</v>
      </c>
      <c r="P157" s="47">
        <f t="shared" si="26"/>
        <v>0</v>
      </c>
      <c r="Q157" s="377">
        <f t="shared" si="27"/>
        <v>0</v>
      </c>
      <c r="R157" s="21">
        <f t="shared" si="21"/>
        <v>125.88809214269659</v>
      </c>
      <c r="S157" s="375">
        <f t="shared" si="28"/>
        <v>125.88809214269659</v>
      </c>
    </row>
    <row r="158" spans="1:19" s="22" customFormat="1" x14ac:dyDescent="0.35">
      <c r="A158" s="19">
        <v>146</v>
      </c>
      <c r="B158" s="19" t="s">
        <v>76</v>
      </c>
      <c r="C158" s="20" t="s">
        <v>146</v>
      </c>
      <c r="D158" s="116">
        <f>'As-Filed Schedule 4'!D158</f>
        <v>0</v>
      </c>
      <c r="E158" s="387">
        <f>SUMIFS(Adjustments!$G:$G,Adjustments!$H:$H,"4",Adjustments!$I:$I,'Schedule 4 Adjustments'!$D$14,Adjustments!$J:$J,'Schedule 4 Adjustments'!$A158)</f>
        <v>0</v>
      </c>
      <c r="F158" s="379">
        <f t="shared" si="22"/>
        <v>0</v>
      </c>
      <c r="G158" s="409">
        <v>2.56</v>
      </c>
      <c r="H158" s="47">
        <f t="shared" si="29"/>
        <v>0</v>
      </c>
      <c r="I158" s="377">
        <f t="shared" si="23"/>
        <v>0</v>
      </c>
      <c r="J158" s="21">
        <f t="shared" si="20"/>
        <v>238.72112287800243</v>
      </c>
      <c r="K158" s="375">
        <f t="shared" si="24"/>
        <v>238.72112287800243</v>
      </c>
      <c r="L158" s="150">
        <f>'As-Filed Schedule 4'!H158</f>
        <v>0</v>
      </c>
      <c r="M158" s="387">
        <f>SUMIFS(Adjustments!$G:$G,Adjustments!$H:$H,"4",Adjustments!$I:$I,'Schedule 4 Adjustments'!$L$14,Adjustments!$J:$J,'Schedule 4 Adjustments'!$A158)</f>
        <v>0</v>
      </c>
      <c r="N158" s="379">
        <f t="shared" si="25"/>
        <v>0</v>
      </c>
      <c r="O158" s="409">
        <v>2.14</v>
      </c>
      <c r="P158" s="47">
        <f t="shared" si="26"/>
        <v>0</v>
      </c>
      <c r="Q158" s="377">
        <f t="shared" si="27"/>
        <v>0</v>
      </c>
      <c r="R158" s="21">
        <f t="shared" si="21"/>
        <v>199.55593865583018</v>
      </c>
      <c r="S158" s="375">
        <f t="shared" si="28"/>
        <v>199.55593865583018</v>
      </c>
    </row>
    <row r="159" spans="1:19" s="22" customFormat="1" x14ac:dyDescent="0.35">
      <c r="A159" s="19">
        <v>147</v>
      </c>
      <c r="B159" s="19" t="s">
        <v>77</v>
      </c>
      <c r="C159" s="20" t="s">
        <v>407</v>
      </c>
      <c r="D159" s="116">
        <f>'As-Filed Schedule 4'!D159</f>
        <v>0</v>
      </c>
      <c r="E159" s="387">
        <f>SUMIFS(Adjustments!$G:$G,Adjustments!$H:$H,"4",Adjustments!$I:$I,'Schedule 4 Adjustments'!$D$14,Adjustments!$J:$J,'Schedule 4 Adjustments'!$A159)</f>
        <v>0</v>
      </c>
      <c r="F159" s="379">
        <f t="shared" si="22"/>
        <v>0</v>
      </c>
      <c r="G159" s="409">
        <v>1.6</v>
      </c>
      <c r="H159" s="47">
        <f t="shared" si="29"/>
        <v>0</v>
      </c>
      <c r="I159" s="377">
        <f t="shared" si="23"/>
        <v>0</v>
      </c>
      <c r="J159" s="21">
        <f t="shared" si="20"/>
        <v>149.20070179875151</v>
      </c>
      <c r="K159" s="375">
        <f t="shared" si="24"/>
        <v>149.20070179875151</v>
      </c>
      <c r="L159" s="150">
        <f>'As-Filed Schedule 4'!H159</f>
        <v>0</v>
      </c>
      <c r="M159" s="387">
        <f>SUMIFS(Adjustments!$G:$G,Adjustments!$H:$H,"4",Adjustments!$I:$I,'Schedule 4 Adjustments'!$L$14,Adjustments!$J:$J,'Schedule 4 Adjustments'!$A159)</f>
        <v>0</v>
      </c>
      <c r="N159" s="379">
        <f t="shared" si="25"/>
        <v>0</v>
      </c>
      <c r="O159" s="409">
        <v>1.6</v>
      </c>
      <c r="P159" s="47">
        <f t="shared" si="26"/>
        <v>0</v>
      </c>
      <c r="Q159" s="377">
        <f t="shared" si="27"/>
        <v>0</v>
      </c>
      <c r="R159" s="21">
        <f t="shared" si="21"/>
        <v>149.20070179875151</v>
      </c>
      <c r="S159" s="375">
        <f t="shared" si="28"/>
        <v>149.20070179875151</v>
      </c>
    </row>
    <row r="160" spans="1:19" s="22" customFormat="1" x14ac:dyDescent="0.35">
      <c r="A160" s="19">
        <v>148</v>
      </c>
      <c r="B160" s="19" t="s">
        <v>78</v>
      </c>
      <c r="C160" s="20" t="s">
        <v>408</v>
      </c>
      <c r="D160" s="116">
        <f>'As-Filed Schedule 4'!D160</f>
        <v>0</v>
      </c>
      <c r="E160" s="387">
        <f>SUMIFS(Adjustments!$G:$G,Adjustments!$H:$H,"4",Adjustments!$I:$I,'Schedule 4 Adjustments'!$D$14,Adjustments!$J:$J,'Schedule 4 Adjustments'!$A160)</f>
        <v>0</v>
      </c>
      <c r="F160" s="379">
        <f t="shared" si="22"/>
        <v>0</v>
      </c>
      <c r="G160" s="409">
        <v>2.64</v>
      </c>
      <c r="H160" s="47">
        <f t="shared" si="29"/>
        <v>0</v>
      </c>
      <c r="I160" s="377">
        <f t="shared" si="23"/>
        <v>0</v>
      </c>
      <c r="J160" s="21">
        <f t="shared" si="20"/>
        <v>246.18115796794001</v>
      </c>
      <c r="K160" s="375">
        <f t="shared" si="24"/>
        <v>246.18115796794001</v>
      </c>
      <c r="L160" s="150">
        <f>'As-Filed Schedule 4'!H160</f>
        <v>0</v>
      </c>
      <c r="M160" s="387">
        <f>SUMIFS(Adjustments!$G:$G,Adjustments!$H:$H,"4",Adjustments!$I:$I,'Schedule 4 Adjustments'!$L$14,Adjustments!$J:$J,'Schedule 4 Adjustments'!$A160)</f>
        <v>0</v>
      </c>
      <c r="N160" s="379">
        <f t="shared" si="25"/>
        <v>0</v>
      </c>
      <c r="O160" s="409">
        <v>2.64</v>
      </c>
      <c r="P160" s="47">
        <f t="shared" si="26"/>
        <v>0</v>
      </c>
      <c r="Q160" s="377">
        <f t="shared" si="27"/>
        <v>0</v>
      </c>
      <c r="R160" s="21">
        <f t="shared" si="21"/>
        <v>246.18115796794001</v>
      </c>
      <c r="S160" s="375">
        <f t="shared" si="28"/>
        <v>246.18115796794001</v>
      </c>
    </row>
    <row r="161" spans="1:19" s="22" customFormat="1" x14ac:dyDescent="0.35">
      <c r="A161" s="19">
        <v>149</v>
      </c>
      <c r="B161" s="19" t="s">
        <v>79</v>
      </c>
      <c r="C161" s="20" t="s">
        <v>409</v>
      </c>
      <c r="D161" s="116">
        <f>'As-Filed Schedule 4'!D161</f>
        <v>971</v>
      </c>
      <c r="E161" s="387">
        <f>SUMIFS(Adjustments!$G:$G,Adjustments!$H:$H,"4",Adjustments!$I:$I,'Schedule 4 Adjustments'!$D$14,Adjustments!$J:$J,'Schedule 4 Adjustments'!$A161)</f>
        <v>0</v>
      </c>
      <c r="F161" s="379">
        <f t="shared" si="22"/>
        <v>971</v>
      </c>
      <c r="G161" s="409">
        <v>1.24</v>
      </c>
      <c r="H161" s="47">
        <f t="shared" si="29"/>
        <v>1204.04</v>
      </c>
      <c r="I161" s="377">
        <f t="shared" si="23"/>
        <v>1204.04</v>
      </c>
      <c r="J161" s="21">
        <f t="shared" si="20"/>
        <v>115.63054389403243</v>
      </c>
      <c r="K161" s="375">
        <f t="shared" si="24"/>
        <v>115.63054389403243</v>
      </c>
      <c r="L161" s="150">
        <f>'As-Filed Schedule 4'!H161</f>
        <v>12563</v>
      </c>
      <c r="M161" s="387">
        <f>SUMIFS(Adjustments!$G:$G,Adjustments!$H:$H,"4",Adjustments!$I:$I,'Schedule 4 Adjustments'!$L$14,Adjustments!$J:$J,'Schedule 4 Adjustments'!$A161)</f>
        <v>0</v>
      </c>
      <c r="N161" s="379">
        <f t="shared" si="25"/>
        <v>12563</v>
      </c>
      <c r="O161" s="409">
        <v>1.24</v>
      </c>
      <c r="P161" s="47">
        <f t="shared" si="26"/>
        <v>15578.119999999999</v>
      </c>
      <c r="Q161" s="377">
        <f t="shared" si="27"/>
        <v>15578.119999999999</v>
      </c>
      <c r="R161" s="21">
        <f t="shared" si="21"/>
        <v>115.63054389403243</v>
      </c>
      <c r="S161" s="375">
        <f t="shared" si="28"/>
        <v>115.63054389403243</v>
      </c>
    </row>
    <row r="162" spans="1:19" s="22" customFormat="1" x14ac:dyDescent="0.35">
      <c r="A162" s="19">
        <v>150</v>
      </c>
      <c r="B162" s="19" t="s">
        <v>80</v>
      </c>
      <c r="C162" s="20" t="s">
        <v>410</v>
      </c>
      <c r="D162" s="116">
        <f>'As-Filed Schedule 4'!D162</f>
        <v>0</v>
      </c>
      <c r="E162" s="387">
        <f>SUMIFS(Adjustments!$G:$G,Adjustments!$H:$H,"4",Adjustments!$I:$I,'Schedule 4 Adjustments'!$D$14,Adjustments!$J:$J,'Schedule 4 Adjustments'!$A162)</f>
        <v>0</v>
      </c>
      <c r="F162" s="379">
        <f t="shared" si="22"/>
        <v>0</v>
      </c>
      <c r="G162" s="409">
        <v>0.83</v>
      </c>
      <c r="H162" s="47">
        <f t="shared" si="29"/>
        <v>0</v>
      </c>
      <c r="I162" s="377">
        <f t="shared" si="23"/>
        <v>0</v>
      </c>
      <c r="J162" s="21">
        <f t="shared" si="20"/>
        <v>77.397864058102343</v>
      </c>
      <c r="K162" s="375">
        <f t="shared" si="24"/>
        <v>77.397864058102343</v>
      </c>
      <c r="L162" s="150">
        <f>'As-Filed Schedule 4'!H162</f>
        <v>0</v>
      </c>
      <c r="M162" s="387">
        <f>SUMIFS(Adjustments!$G:$G,Adjustments!$H:$H,"4",Adjustments!$I:$I,'Schedule 4 Adjustments'!$L$14,Adjustments!$J:$J,'Schedule 4 Adjustments'!$A162)</f>
        <v>0</v>
      </c>
      <c r="N162" s="379">
        <f t="shared" si="25"/>
        <v>0</v>
      </c>
      <c r="O162" s="409">
        <v>0.72</v>
      </c>
      <c r="P162" s="47">
        <f t="shared" si="26"/>
        <v>0</v>
      </c>
      <c r="Q162" s="377">
        <f t="shared" si="27"/>
        <v>0</v>
      </c>
      <c r="R162" s="21">
        <f t="shared" si="21"/>
        <v>67.140315809438178</v>
      </c>
      <c r="S162" s="375">
        <f t="shared" si="28"/>
        <v>67.140315809438178</v>
      </c>
    </row>
    <row r="163" spans="1:19" s="22" customFormat="1" x14ac:dyDescent="0.35">
      <c r="A163" s="19">
        <v>151</v>
      </c>
      <c r="B163" s="19" t="s">
        <v>81</v>
      </c>
      <c r="C163" s="20" t="s">
        <v>411</v>
      </c>
      <c r="D163" s="116">
        <f>'As-Filed Schedule 4'!D163</f>
        <v>1385</v>
      </c>
      <c r="E163" s="387">
        <f>SUMIFS(Adjustments!$G:$G,Adjustments!$H:$H,"4",Adjustments!$I:$I,'Schedule 4 Adjustments'!$D$14,Adjustments!$J:$J,'Schedule 4 Adjustments'!$A163)</f>
        <v>0</v>
      </c>
      <c r="F163" s="379">
        <f t="shared" si="22"/>
        <v>1385</v>
      </c>
      <c r="G163" s="409">
        <v>0.92</v>
      </c>
      <c r="H163" s="47">
        <f t="shared" si="29"/>
        <v>1274.2</v>
      </c>
      <c r="I163" s="377">
        <f t="shared" si="23"/>
        <v>1274.2</v>
      </c>
      <c r="J163" s="21">
        <f t="shared" si="20"/>
        <v>85.79040353428212</v>
      </c>
      <c r="K163" s="375">
        <f t="shared" si="24"/>
        <v>85.79040353428212</v>
      </c>
      <c r="L163" s="150">
        <f>'As-Filed Schedule 4'!H163</f>
        <v>12751</v>
      </c>
      <c r="M163" s="387">
        <f>SUMIFS(Adjustments!$G:$G,Adjustments!$H:$H,"4",Adjustments!$I:$I,'Schedule 4 Adjustments'!$L$14,Adjustments!$J:$J,'Schedule 4 Adjustments'!$A163)</f>
        <v>0</v>
      </c>
      <c r="N163" s="379">
        <f t="shared" si="25"/>
        <v>12751</v>
      </c>
      <c r="O163" s="409">
        <v>0.92</v>
      </c>
      <c r="P163" s="47">
        <f t="shared" si="26"/>
        <v>11730.92</v>
      </c>
      <c r="Q163" s="377">
        <f t="shared" si="27"/>
        <v>11730.92</v>
      </c>
      <c r="R163" s="21">
        <f t="shared" si="21"/>
        <v>85.79040353428212</v>
      </c>
      <c r="S163" s="375">
        <f t="shared" si="28"/>
        <v>85.79040353428212</v>
      </c>
    </row>
    <row r="164" spans="1:19" s="22" customFormat="1" x14ac:dyDescent="0.35">
      <c r="A164" s="19">
        <v>152</v>
      </c>
      <c r="B164" s="19" t="s">
        <v>82</v>
      </c>
      <c r="C164" s="20" t="s">
        <v>412</v>
      </c>
      <c r="D164" s="116">
        <f>'As-Filed Schedule 4'!D164</f>
        <v>0</v>
      </c>
      <c r="E164" s="387">
        <f>SUMIFS(Adjustments!$G:$G,Adjustments!$H:$H,"4",Adjustments!$I:$I,'Schedule 4 Adjustments'!$D$14,Adjustments!$J:$J,'Schedule 4 Adjustments'!$A164)</f>
        <v>0</v>
      </c>
      <c r="F164" s="379">
        <f t="shared" si="22"/>
        <v>0</v>
      </c>
      <c r="G164" s="409">
        <v>0.14000000000000001</v>
      </c>
      <c r="H164" s="47">
        <f t="shared" si="29"/>
        <v>0</v>
      </c>
      <c r="I164" s="377">
        <f t="shared" si="23"/>
        <v>0</v>
      </c>
      <c r="J164" s="21">
        <f t="shared" si="20"/>
        <v>13.05506140739076</v>
      </c>
      <c r="K164" s="375">
        <f t="shared" si="24"/>
        <v>13.05506140739076</v>
      </c>
      <c r="L164" s="150">
        <f>'As-Filed Schedule 4'!H164</f>
        <v>0</v>
      </c>
      <c r="M164" s="387">
        <f>SUMIFS(Adjustments!$G:$G,Adjustments!$H:$H,"4",Adjustments!$I:$I,'Schedule 4 Adjustments'!$L$14,Adjustments!$J:$J,'Schedule 4 Adjustments'!$A164)</f>
        <v>0</v>
      </c>
      <c r="N164" s="379">
        <f t="shared" si="25"/>
        <v>0</v>
      </c>
      <c r="O164" s="409">
        <v>0.12</v>
      </c>
      <c r="P164" s="47">
        <f t="shared" si="26"/>
        <v>0</v>
      </c>
      <c r="Q164" s="377">
        <f t="shared" si="27"/>
        <v>0</v>
      </c>
      <c r="R164" s="21">
        <f t="shared" si="21"/>
        <v>11.190052634906364</v>
      </c>
      <c r="S164" s="375">
        <f t="shared" si="28"/>
        <v>11.190052634906364</v>
      </c>
    </row>
    <row r="165" spans="1:19" s="22" customFormat="1" x14ac:dyDescent="0.35">
      <c r="A165" s="19">
        <v>153</v>
      </c>
      <c r="B165" s="19" t="s">
        <v>83</v>
      </c>
      <c r="C165" s="20" t="s">
        <v>417</v>
      </c>
      <c r="D165" s="116">
        <f>'As-Filed Schedule 4'!D165</f>
        <v>0</v>
      </c>
      <c r="E165" s="387">
        <f>SUMIFS(Adjustments!$G:$G,Adjustments!$H:$H,"4",Adjustments!$I:$I,'Schedule 4 Adjustments'!$D$14,Adjustments!$J:$J,'Schedule 4 Adjustments'!$A165)</f>
        <v>0</v>
      </c>
      <c r="F165" s="379">
        <f t="shared" si="22"/>
        <v>0</v>
      </c>
      <c r="G165" s="409">
        <v>3.3600000000000003</v>
      </c>
      <c r="H165" s="47">
        <f t="shared" si="29"/>
        <v>0</v>
      </c>
      <c r="I165" s="377">
        <f t="shared" si="23"/>
        <v>0</v>
      </c>
      <c r="J165" s="21">
        <f t="shared" si="20"/>
        <v>313.32147377737823</v>
      </c>
      <c r="K165" s="375">
        <f t="shared" si="24"/>
        <v>313.32147377737823</v>
      </c>
      <c r="L165" s="150">
        <f>'As-Filed Schedule 4'!H165</f>
        <v>0</v>
      </c>
      <c r="M165" s="387">
        <f>SUMIFS(Adjustments!$G:$G,Adjustments!$H:$H,"4",Adjustments!$I:$I,'Schedule 4 Adjustments'!$L$14,Adjustments!$J:$J,'Schedule 4 Adjustments'!$A165)</f>
        <v>0</v>
      </c>
      <c r="N165" s="379">
        <f t="shared" si="25"/>
        <v>0</v>
      </c>
      <c r="O165" s="409">
        <v>2.88</v>
      </c>
      <c r="P165" s="47">
        <f t="shared" si="26"/>
        <v>0</v>
      </c>
      <c r="Q165" s="377">
        <f t="shared" si="27"/>
        <v>0</v>
      </c>
      <c r="R165" s="21">
        <f t="shared" si="21"/>
        <v>268.56126323775271</v>
      </c>
      <c r="S165" s="375">
        <f t="shared" si="28"/>
        <v>268.56126323775271</v>
      </c>
    </row>
    <row r="166" spans="1:19" s="22" customFormat="1" x14ac:dyDescent="0.35">
      <c r="A166" s="19">
        <v>154</v>
      </c>
      <c r="B166" s="19" t="s">
        <v>84</v>
      </c>
      <c r="C166" s="20" t="s">
        <v>415</v>
      </c>
      <c r="D166" s="116">
        <f>'As-Filed Schedule 4'!D166</f>
        <v>285</v>
      </c>
      <c r="E166" s="387">
        <f>SUMIFS(Adjustments!$G:$G,Adjustments!$H:$H,"4",Adjustments!$I:$I,'Schedule 4 Adjustments'!$D$14,Adjustments!$J:$J,'Schedule 4 Adjustments'!$A166)</f>
        <v>0</v>
      </c>
      <c r="F166" s="379">
        <f t="shared" si="22"/>
        <v>285</v>
      </c>
      <c r="G166" s="409">
        <v>0.44</v>
      </c>
      <c r="H166" s="47">
        <f t="shared" si="29"/>
        <v>125.4</v>
      </c>
      <c r="I166" s="377">
        <f t="shared" si="23"/>
        <v>125.4</v>
      </c>
      <c r="J166" s="21">
        <f t="shared" si="20"/>
        <v>41.030192994656666</v>
      </c>
      <c r="K166" s="375">
        <f t="shared" si="24"/>
        <v>41.030192994656666</v>
      </c>
      <c r="L166" s="150">
        <f>'As-Filed Schedule 4'!H166</f>
        <v>8507</v>
      </c>
      <c r="M166" s="387">
        <f>SUMIFS(Adjustments!$G:$G,Adjustments!$H:$H,"4",Adjustments!$I:$I,'Schedule 4 Adjustments'!$L$14,Adjustments!$J:$J,'Schedule 4 Adjustments'!$A166)</f>
        <v>0</v>
      </c>
      <c r="N166" s="379">
        <f t="shared" si="25"/>
        <v>8507</v>
      </c>
      <c r="O166" s="409">
        <v>0.44</v>
      </c>
      <c r="P166" s="47">
        <f t="shared" si="26"/>
        <v>3743.08</v>
      </c>
      <c r="Q166" s="377">
        <f t="shared" si="27"/>
        <v>3743.08</v>
      </c>
      <c r="R166" s="21">
        <f t="shared" si="21"/>
        <v>41.030192994656666</v>
      </c>
      <c r="S166" s="375">
        <f t="shared" si="28"/>
        <v>41.030192994656666</v>
      </c>
    </row>
    <row r="167" spans="1:19" s="22" customFormat="1" x14ac:dyDescent="0.35">
      <c r="A167" s="19">
        <v>155</v>
      </c>
      <c r="B167" s="19" t="s">
        <v>85</v>
      </c>
      <c r="C167" s="20" t="s">
        <v>416</v>
      </c>
      <c r="D167" s="116">
        <f>'As-Filed Schedule 4'!D167</f>
        <v>0</v>
      </c>
      <c r="E167" s="387">
        <f>SUMIFS(Adjustments!$G:$G,Adjustments!$H:$H,"4",Adjustments!$I:$I,'Schedule 4 Adjustments'!$D$14,Adjustments!$J:$J,'Schedule 4 Adjustments'!$A167)</f>
        <v>0</v>
      </c>
      <c r="F167" s="379">
        <f t="shared" si="22"/>
        <v>0</v>
      </c>
      <c r="G167" s="409">
        <v>5.28</v>
      </c>
      <c r="H167" s="47">
        <f t="shared" si="29"/>
        <v>0</v>
      </c>
      <c r="I167" s="377">
        <f t="shared" si="23"/>
        <v>0</v>
      </c>
      <c r="J167" s="21">
        <f t="shared" si="20"/>
        <v>492.36231593588002</v>
      </c>
      <c r="K167" s="375">
        <f t="shared" si="24"/>
        <v>492.36231593588002</v>
      </c>
      <c r="L167" s="150">
        <f>'As-Filed Schedule 4'!H167</f>
        <v>0</v>
      </c>
      <c r="M167" s="387">
        <f>SUMIFS(Adjustments!$G:$G,Adjustments!$H:$H,"4",Adjustments!$I:$I,'Schedule 4 Adjustments'!$L$14,Adjustments!$J:$J,'Schedule 4 Adjustments'!$A167)</f>
        <v>0</v>
      </c>
      <c r="N167" s="379">
        <f t="shared" si="25"/>
        <v>0</v>
      </c>
      <c r="O167" s="409">
        <v>5.28</v>
      </c>
      <c r="P167" s="47">
        <f t="shared" si="26"/>
        <v>0</v>
      </c>
      <c r="Q167" s="377">
        <f t="shared" si="27"/>
        <v>0</v>
      </c>
      <c r="R167" s="21">
        <f t="shared" si="21"/>
        <v>492.36231593588002</v>
      </c>
      <c r="S167" s="375">
        <f t="shared" si="28"/>
        <v>492.36231593588002</v>
      </c>
    </row>
    <row r="168" spans="1:19" s="22" customFormat="1" x14ac:dyDescent="0.35">
      <c r="A168" s="19">
        <v>156</v>
      </c>
      <c r="B168" s="19" t="s">
        <v>86</v>
      </c>
      <c r="C168" s="20" t="s">
        <v>414</v>
      </c>
      <c r="D168" s="116">
        <f>'As-Filed Schedule 4'!D168</f>
        <v>690</v>
      </c>
      <c r="E168" s="387">
        <f>SUMIFS(Adjustments!$G:$G,Adjustments!$H:$H,"4",Adjustments!$I:$I,'Schedule 4 Adjustments'!$D$14,Adjustments!$J:$J,'Schedule 4 Adjustments'!$A168)</f>
        <v>0</v>
      </c>
      <c r="F168" s="379">
        <f t="shared" si="22"/>
        <v>690</v>
      </c>
      <c r="G168" s="409">
        <v>0.44</v>
      </c>
      <c r="H168" s="47">
        <f t="shared" si="29"/>
        <v>303.60000000000002</v>
      </c>
      <c r="I168" s="377">
        <f t="shared" si="23"/>
        <v>303.60000000000002</v>
      </c>
      <c r="J168" s="21">
        <f t="shared" si="20"/>
        <v>41.030192994656666</v>
      </c>
      <c r="K168" s="375">
        <f t="shared" si="24"/>
        <v>41.030192994656666</v>
      </c>
      <c r="L168" s="150">
        <f>'As-Filed Schedule 4'!H168</f>
        <v>5091</v>
      </c>
      <c r="M168" s="387">
        <f>SUMIFS(Adjustments!$G:$G,Adjustments!$H:$H,"4",Adjustments!$I:$I,'Schedule 4 Adjustments'!$L$14,Adjustments!$J:$J,'Schedule 4 Adjustments'!$A168)</f>
        <v>0</v>
      </c>
      <c r="N168" s="379">
        <f t="shared" si="25"/>
        <v>5091</v>
      </c>
      <c r="O168" s="409">
        <v>0.44</v>
      </c>
      <c r="P168" s="47">
        <f t="shared" si="26"/>
        <v>2240.04</v>
      </c>
      <c r="Q168" s="377">
        <f t="shared" si="27"/>
        <v>2240.04</v>
      </c>
      <c r="R168" s="21">
        <f t="shared" si="21"/>
        <v>41.030192994656666</v>
      </c>
      <c r="S168" s="375">
        <f t="shared" si="28"/>
        <v>41.030192994656666</v>
      </c>
    </row>
    <row r="169" spans="1:19" s="22" customFormat="1" x14ac:dyDescent="0.35">
      <c r="A169" s="19">
        <v>157</v>
      </c>
      <c r="B169" s="19" t="s">
        <v>87</v>
      </c>
      <c r="C169" s="20" t="s">
        <v>413</v>
      </c>
      <c r="D169" s="116">
        <f>'As-Filed Schedule 4'!D169</f>
        <v>0</v>
      </c>
      <c r="E169" s="387">
        <f>SUMIFS(Adjustments!$G:$G,Adjustments!$H:$H,"4",Adjustments!$I:$I,'Schedule 4 Adjustments'!$D$14,Adjustments!$J:$J,'Schedule 4 Adjustments'!$A169)</f>
        <v>0</v>
      </c>
      <c r="F169" s="379">
        <f t="shared" si="22"/>
        <v>0</v>
      </c>
      <c r="G169" s="409">
        <v>5.28</v>
      </c>
      <c r="H169" s="47">
        <f t="shared" si="29"/>
        <v>0</v>
      </c>
      <c r="I169" s="377">
        <f t="shared" si="23"/>
        <v>0</v>
      </c>
      <c r="J169" s="21">
        <f t="shared" si="20"/>
        <v>492.36231593588002</v>
      </c>
      <c r="K169" s="375">
        <f t="shared" si="24"/>
        <v>492.36231593588002</v>
      </c>
      <c r="L169" s="150">
        <f>'As-Filed Schedule 4'!H169</f>
        <v>0</v>
      </c>
      <c r="M169" s="387">
        <f>SUMIFS(Adjustments!$G:$G,Adjustments!$H:$H,"4",Adjustments!$I:$I,'Schedule 4 Adjustments'!$L$14,Adjustments!$J:$J,'Schedule 4 Adjustments'!$A169)</f>
        <v>0</v>
      </c>
      <c r="N169" s="379">
        <f t="shared" si="25"/>
        <v>0</v>
      </c>
      <c r="O169" s="409">
        <v>5.28</v>
      </c>
      <c r="P169" s="47">
        <f t="shared" si="26"/>
        <v>0</v>
      </c>
      <c r="Q169" s="377">
        <f t="shared" si="27"/>
        <v>0</v>
      </c>
      <c r="R169" s="21">
        <f t="shared" si="21"/>
        <v>492.36231593588002</v>
      </c>
      <c r="S169" s="375">
        <f t="shared" si="28"/>
        <v>492.36231593588002</v>
      </c>
    </row>
    <row r="170" spans="1:19" s="22" customFormat="1" x14ac:dyDescent="0.35">
      <c r="A170" s="19">
        <v>158</v>
      </c>
      <c r="B170" s="19" t="s">
        <v>88</v>
      </c>
      <c r="C170" s="20" t="s">
        <v>418</v>
      </c>
      <c r="D170" s="116">
        <f>'As-Filed Schedule 4'!D170</f>
        <v>244</v>
      </c>
      <c r="E170" s="387">
        <f>SUMIFS(Adjustments!$G:$G,Adjustments!$H:$H,"4",Adjustments!$I:$I,'Schedule 4 Adjustments'!$D$14,Adjustments!$J:$J,'Schedule 4 Adjustments'!$A170)</f>
        <v>0</v>
      </c>
      <c r="F170" s="379">
        <f t="shared" si="22"/>
        <v>244</v>
      </c>
      <c r="G170" s="409">
        <v>0.14000000000000001</v>
      </c>
      <c r="H170" s="47">
        <f t="shared" si="29"/>
        <v>34.160000000000004</v>
      </c>
      <c r="I170" s="377">
        <f t="shared" si="23"/>
        <v>34.160000000000004</v>
      </c>
      <c r="J170" s="21">
        <f t="shared" si="20"/>
        <v>13.05506140739076</v>
      </c>
      <c r="K170" s="375">
        <f t="shared" si="24"/>
        <v>13.05506140739076</v>
      </c>
      <c r="L170" s="150">
        <f>'As-Filed Schedule 4'!H170</f>
        <v>5385</v>
      </c>
      <c r="M170" s="387">
        <f>SUMIFS(Adjustments!$G:$G,Adjustments!$H:$H,"4",Adjustments!$I:$I,'Schedule 4 Adjustments'!$L$14,Adjustments!$J:$J,'Schedule 4 Adjustments'!$A170)</f>
        <v>0</v>
      </c>
      <c r="N170" s="379">
        <f t="shared" si="25"/>
        <v>5385</v>
      </c>
      <c r="O170" s="409">
        <v>0.12</v>
      </c>
      <c r="P170" s="47">
        <f t="shared" si="26"/>
        <v>646.19999999999993</v>
      </c>
      <c r="Q170" s="377">
        <f t="shared" si="27"/>
        <v>646.19999999999993</v>
      </c>
      <c r="R170" s="21">
        <f t="shared" si="21"/>
        <v>11.190052634906364</v>
      </c>
      <c r="S170" s="375">
        <f t="shared" si="28"/>
        <v>11.190052634906364</v>
      </c>
    </row>
    <row r="171" spans="1:19" s="22" customFormat="1" x14ac:dyDescent="0.35">
      <c r="A171" s="19">
        <v>159</v>
      </c>
      <c r="B171" s="19" t="s">
        <v>89</v>
      </c>
      <c r="C171" s="20" t="s">
        <v>419</v>
      </c>
      <c r="D171" s="116">
        <f>'As-Filed Schedule 4'!D171</f>
        <v>0</v>
      </c>
      <c r="E171" s="387">
        <f>SUMIFS(Adjustments!$G:$G,Adjustments!$H:$H,"4",Adjustments!$I:$I,'Schedule 4 Adjustments'!$D$14,Adjustments!$J:$J,'Schedule 4 Adjustments'!$A171)</f>
        <v>0</v>
      </c>
      <c r="F171" s="379">
        <f t="shared" si="22"/>
        <v>0</v>
      </c>
      <c r="G171" s="409">
        <v>3.3600000000000003</v>
      </c>
      <c r="H171" s="47">
        <f t="shared" si="29"/>
        <v>0</v>
      </c>
      <c r="I171" s="377">
        <f t="shared" si="23"/>
        <v>0</v>
      </c>
      <c r="J171" s="21">
        <f t="shared" si="20"/>
        <v>313.32147377737823</v>
      </c>
      <c r="K171" s="375">
        <f t="shared" si="24"/>
        <v>313.32147377737823</v>
      </c>
      <c r="L171" s="150">
        <f>'As-Filed Schedule 4'!H171</f>
        <v>0</v>
      </c>
      <c r="M171" s="387">
        <f>SUMIFS(Adjustments!$G:$G,Adjustments!$H:$H,"4",Adjustments!$I:$I,'Schedule 4 Adjustments'!$L$14,Adjustments!$J:$J,'Schedule 4 Adjustments'!$A171)</f>
        <v>0</v>
      </c>
      <c r="N171" s="379">
        <f t="shared" si="25"/>
        <v>0</v>
      </c>
      <c r="O171" s="409">
        <v>2.88</v>
      </c>
      <c r="P171" s="47">
        <f t="shared" si="26"/>
        <v>0</v>
      </c>
      <c r="Q171" s="377">
        <f t="shared" si="27"/>
        <v>0</v>
      </c>
      <c r="R171" s="21">
        <f t="shared" si="21"/>
        <v>268.56126323775271</v>
      </c>
      <c r="S171" s="375">
        <f t="shared" si="28"/>
        <v>268.56126323775271</v>
      </c>
    </row>
    <row r="172" spans="1:19" s="22" customFormat="1" x14ac:dyDescent="0.35">
      <c r="A172" s="19">
        <v>160</v>
      </c>
      <c r="B172" s="19" t="s">
        <v>90</v>
      </c>
      <c r="C172" s="20" t="s">
        <v>420</v>
      </c>
      <c r="D172" s="116">
        <f>'As-Filed Schedule 4'!D172</f>
        <v>9</v>
      </c>
      <c r="E172" s="387">
        <f>SUMIFS(Adjustments!$G:$G,Adjustments!$H:$H,"4",Adjustments!$I:$I,'Schedule 4 Adjustments'!$D$14,Adjustments!$J:$J,'Schedule 4 Adjustments'!$A172)</f>
        <v>0</v>
      </c>
      <c r="F172" s="379">
        <f t="shared" si="22"/>
        <v>9</v>
      </c>
      <c r="G172" s="409">
        <v>0.14000000000000001</v>
      </c>
      <c r="H172" s="47">
        <f t="shared" si="29"/>
        <v>1.2600000000000002</v>
      </c>
      <c r="I172" s="377">
        <f t="shared" si="23"/>
        <v>1.2600000000000002</v>
      </c>
      <c r="J172" s="21">
        <f t="shared" si="20"/>
        <v>13.05506140739076</v>
      </c>
      <c r="K172" s="375">
        <f t="shared" si="24"/>
        <v>13.05506140739076</v>
      </c>
      <c r="L172" s="150">
        <f>'As-Filed Schedule 4'!H172</f>
        <v>117</v>
      </c>
      <c r="M172" s="387">
        <f>SUMIFS(Adjustments!$G:$G,Adjustments!$H:$H,"4",Adjustments!$I:$I,'Schedule 4 Adjustments'!$L$14,Adjustments!$J:$J,'Schedule 4 Adjustments'!$A172)</f>
        <v>0</v>
      </c>
      <c r="N172" s="379">
        <f t="shared" si="25"/>
        <v>117</v>
      </c>
      <c r="O172" s="409">
        <v>0.12</v>
      </c>
      <c r="P172" s="47">
        <f t="shared" si="26"/>
        <v>14.04</v>
      </c>
      <c r="Q172" s="377">
        <f t="shared" si="27"/>
        <v>14.04</v>
      </c>
      <c r="R172" s="21">
        <f t="shared" si="21"/>
        <v>11.190052634906364</v>
      </c>
      <c r="S172" s="375">
        <f t="shared" si="28"/>
        <v>11.190052634906364</v>
      </c>
    </row>
    <row r="173" spans="1:19" s="22" customFormat="1" x14ac:dyDescent="0.35">
      <c r="A173" s="19">
        <v>161</v>
      </c>
      <c r="B173" s="19" t="s">
        <v>91</v>
      </c>
      <c r="C173" s="20" t="s">
        <v>421</v>
      </c>
      <c r="D173" s="116">
        <f>'As-Filed Schedule 4'!D173</f>
        <v>0</v>
      </c>
      <c r="E173" s="387">
        <f>SUMIFS(Adjustments!$G:$G,Adjustments!$H:$H,"4",Adjustments!$I:$I,'Schedule 4 Adjustments'!$D$14,Adjustments!$J:$J,'Schedule 4 Adjustments'!$A173)</f>
        <v>0</v>
      </c>
      <c r="F173" s="379">
        <f t="shared" si="22"/>
        <v>0</v>
      </c>
      <c r="G173" s="409">
        <v>3.3600000000000003</v>
      </c>
      <c r="H173" s="47">
        <f t="shared" si="29"/>
        <v>0</v>
      </c>
      <c r="I173" s="377">
        <f t="shared" si="23"/>
        <v>0</v>
      </c>
      <c r="J173" s="21">
        <f t="shared" si="20"/>
        <v>313.32147377737823</v>
      </c>
      <c r="K173" s="375">
        <f t="shared" si="24"/>
        <v>313.32147377737823</v>
      </c>
      <c r="L173" s="150">
        <f>'As-Filed Schedule 4'!H173</f>
        <v>0</v>
      </c>
      <c r="M173" s="387">
        <f>SUMIFS(Adjustments!$G:$G,Adjustments!$H:$H,"4",Adjustments!$I:$I,'Schedule 4 Adjustments'!$L$14,Adjustments!$J:$J,'Schedule 4 Adjustments'!$A173)</f>
        <v>0</v>
      </c>
      <c r="N173" s="379">
        <f t="shared" si="25"/>
        <v>0</v>
      </c>
      <c r="O173" s="409">
        <v>2.88</v>
      </c>
      <c r="P173" s="47">
        <f t="shared" si="26"/>
        <v>0</v>
      </c>
      <c r="Q173" s="377">
        <f t="shared" si="27"/>
        <v>0</v>
      </c>
      <c r="R173" s="21">
        <f t="shared" si="21"/>
        <v>268.56126323775271</v>
      </c>
      <c r="S173" s="375">
        <f t="shared" si="28"/>
        <v>268.56126323775271</v>
      </c>
    </row>
    <row r="174" spans="1:19" s="22" customFormat="1" x14ac:dyDescent="0.35">
      <c r="A174" s="19">
        <v>162</v>
      </c>
      <c r="B174" s="19" t="s">
        <v>92</v>
      </c>
      <c r="C174" s="20" t="s">
        <v>422</v>
      </c>
      <c r="D174" s="116">
        <f>'As-Filed Schedule 4'!D174</f>
        <v>65</v>
      </c>
      <c r="E174" s="387">
        <f>SUMIFS(Adjustments!$G:$G,Adjustments!$H:$H,"4",Adjustments!$I:$I,'Schedule 4 Adjustments'!$D$14,Adjustments!$J:$J,'Schedule 4 Adjustments'!$A174)</f>
        <v>0</v>
      </c>
      <c r="F174" s="379">
        <f t="shared" si="22"/>
        <v>65</v>
      </c>
      <c r="G174" s="409">
        <v>0.14000000000000001</v>
      </c>
      <c r="H174" s="47">
        <f t="shared" si="29"/>
        <v>9.1000000000000014</v>
      </c>
      <c r="I174" s="377">
        <f t="shared" si="23"/>
        <v>9.1000000000000014</v>
      </c>
      <c r="J174" s="21">
        <f t="shared" si="20"/>
        <v>13.05506140739076</v>
      </c>
      <c r="K174" s="375">
        <f t="shared" si="24"/>
        <v>13.05506140739076</v>
      </c>
      <c r="L174" s="150">
        <f>'As-Filed Schedule 4'!H174</f>
        <v>1050</v>
      </c>
      <c r="M174" s="387">
        <f>SUMIFS(Adjustments!$G:$G,Adjustments!$H:$H,"4",Adjustments!$I:$I,'Schedule 4 Adjustments'!$L$14,Adjustments!$J:$J,'Schedule 4 Adjustments'!$A174)</f>
        <v>0</v>
      </c>
      <c r="N174" s="379">
        <f t="shared" si="25"/>
        <v>1050</v>
      </c>
      <c r="O174" s="409">
        <v>0.12</v>
      </c>
      <c r="P174" s="47">
        <f t="shared" si="26"/>
        <v>126</v>
      </c>
      <c r="Q174" s="377">
        <f t="shared" si="27"/>
        <v>126</v>
      </c>
      <c r="R174" s="21">
        <f t="shared" si="21"/>
        <v>11.190052634906364</v>
      </c>
      <c r="S174" s="375">
        <f t="shared" si="28"/>
        <v>11.190052634906364</v>
      </c>
    </row>
    <row r="175" spans="1:19" s="22" customFormat="1" x14ac:dyDescent="0.35">
      <c r="A175" s="19">
        <v>163</v>
      </c>
      <c r="B175" s="19" t="s">
        <v>93</v>
      </c>
      <c r="C175" s="20" t="s">
        <v>423</v>
      </c>
      <c r="D175" s="116">
        <f>'As-Filed Schedule 4'!D175</f>
        <v>0</v>
      </c>
      <c r="E175" s="387">
        <f>SUMIFS(Adjustments!$G:$G,Adjustments!$H:$H,"4",Adjustments!$I:$I,'Schedule 4 Adjustments'!$D$14,Adjustments!$J:$J,'Schedule 4 Adjustments'!$A175)</f>
        <v>0</v>
      </c>
      <c r="F175" s="379">
        <f t="shared" si="22"/>
        <v>0</v>
      </c>
      <c r="G175" s="409">
        <v>0.14000000000000001</v>
      </c>
      <c r="H175" s="47">
        <f t="shared" si="29"/>
        <v>0</v>
      </c>
      <c r="I175" s="377">
        <f t="shared" si="23"/>
        <v>0</v>
      </c>
      <c r="J175" s="21">
        <f t="shared" si="20"/>
        <v>13.05506140739076</v>
      </c>
      <c r="K175" s="375">
        <f t="shared" si="24"/>
        <v>13.05506140739076</v>
      </c>
      <c r="L175" s="150">
        <f>'As-Filed Schedule 4'!H175</f>
        <v>29874</v>
      </c>
      <c r="M175" s="387">
        <f>SUMIFS(Adjustments!$G:$G,Adjustments!$H:$H,"4",Adjustments!$I:$I,'Schedule 4 Adjustments'!$L$14,Adjustments!$J:$J,'Schedule 4 Adjustments'!$A175)</f>
        <v>0</v>
      </c>
      <c r="N175" s="379">
        <f t="shared" si="25"/>
        <v>29874</v>
      </c>
      <c r="O175" s="409">
        <v>0.12</v>
      </c>
      <c r="P175" s="47">
        <f t="shared" si="26"/>
        <v>3584.8799999999997</v>
      </c>
      <c r="Q175" s="377">
        <f t="shared" si="27"/>
        <v>3584.8799999999997</v>
      </c>
      <c r="R175" s="21">
        <f t="shared" si="21"/>
        <v>11.190052634906364</v>
      </c>
      <c r="S175" s="375">
        <f t="shared" si="28"/>
        <v>11.190052634906364</v>
      </c>
    </row>
    <row r="176" spans="1:19" s="22" customFormat="1" x14ac:dyDescent="0.35">
      <c r="A176" s="19">
        <v>164</v>
      </c>
      <c r="B176" s="19" t="s">
        <v>94</v>
      </c>
      <c r="C176" s="20" t="s">
        <v>424</v>
      </c>
      <c r="D176" s="116">
        <f>'As-Filed Schedule 4'!D176</f>
        <v>0</v>
      </c>
      <c r="E176" s="387">
        <f>SUMIFS(Adjustments!$G:$G,Adjustments!$H:$H,"4",Adjustments!$I:$I,'Schedule 4 Adjustments'!$D$14,Adjustments!$J:$J,'Schedule 4 Adjustments'!$A176)</f>
        <v>0</v>
      </c>
      <c r="F176" s="379">
        <f t="shared" si="22"/>
        <v>0</v>
      </c>
      <c r="G176" s="409">
        <v>3.3600000000000003</v>
      </c>
      <c r="H176" s="47">
        <f t="shared" si="29"/>
        <v>0</v>
      </c>
      <c r="I176" s="377">
        <f t="shared" si="23"/>
        <v>0</v>
      </c>
      <c r="J176" s="21">
        <f t="shared" si="20"/>
        <v>313.32147377737823</v>
      </c>
      <c r="K176" s="375">
        <f t="shared" si="24"/>
        <v>313.32147377737823</v>
      </c>
      <c r="L176" s="150">
        <f>'As-Filed Schedule 4'!H176</f>
        <v>1196</v>
      </c>
      <c r="M176" s="387">
        <f>SUMIFS(Adjustments!$G:$G,Adjustments!$H:$H,"4",Adjustments!$I:$I,'Schedule 4 Adjustments'!$L$14,Adjustments!$J:$J,'Schedule 4 Adjustments'!$A176)</f>
        <v>0</v>
      </c>
      <c r="N176" s="379">
        <f t="shared" si="25"/>
        <v>1196</v>
      </c>
      <c r="O176" s="409">
        <v>2.88</v>
      </c>
      <c r="P176" s="47">
        <f t="shared" si="26"/>
        <v>3444.48</v>
      </c>
      <c r="Q176" s="377">
        <f t="shared" si="27"/>
        <v>3444.48</v>
      </c>
      <c r="R176" s="21">
        <f t="shared" si="21"/>
        <v>268.56126323775271</v>
      </c>
      <c r="S176" s="375">
        <f t="shared" si="28"/>
        <v>268.56126323775271</v>
      </c>
    </row>
    <row r="177" spans="1:19" s="22" customFormat="1" x14ac:dyDescent="0.35">
      <c r="A177" s="19">
        <v>165</v>
      </c>
      <c r="B177" s="19" t="s">
        <v>95</v>
      </c>
      <c r="C177" s="20" t="s">
        <v>425</v>
      </c>
      <c r="D177" s="116">
        <f>'As-Filed Schedule 4'!D177</f>
        <v>0</v>
      </c>
      <c r="E177" s="387">
        <f>SUMIFS(Adjustments!$G:$G,Adjustments!$H:$H,"4",Adjustments!$I:$I,'Schedule 4 Adjustments'!$D$14,Adjustments!$J:$J,'Schedule 4 Adjustments'!$A177)</f>
        <v>0</v>
      </c>
      <c r="F177" s="379">
        <f t="shared" si="22"/>
        <v>0</v>
      </c>
      <c r="G177" s="409">
        <v>0.14000000000000001</v>
      </c>
      <c r="H177" s="47">
        <f t="shared" si="29"/>
        <v>0</v>
      </c>
      <c r="I177" s="377">
        <f t="shared" si="23"/>
        <v>0</v>
      </c>
      <c r="J177" s="21">
        <f t="shared" si="20"/>
        <v>13.05506140739076</v>
      </c>
      <c r="K177" s="375">
        <f t="shared" si="24"/>
        <v>13.05506140739076</v>
      </c>
      <c r="L177" s="150">
        <f>'As-Filed Schedule 4'!H177</f>
        <v>108</v>
      </c>
      <c r="M177" s="387">
        <f>SUMIFS(Adjustments!$G:$G,Adjustments!$H:$H,"4",Adjustments!$I:$I,'Schedule 4 Adjustments'!$L$14,Adjustments!$J:$J,'Schedule 4 Adjustments'!$A177)</f>
        <v>0</v>
      </c>
      <c r="N177" s="379">
        <f t="shared" si="25"/>
        <v>108</v>
      </c>
      <c r="O177" s="409">
        <v>0.12</v>
      </c>
      <c r="P177" s="47">
        <f t="shared" si="26"/>
        <v>12.959999999999999</v>
      </c>
      <c r="Q177" s="377">
        <f t="shared" si="27"/>
        <v>12.959999999999999</v>
      </c>
      <c r="R177" s="21">
        <f t="shared" si="21"/>
        <v>11.190052634906364</v>
      </c>
      <c r="S177" s="375">
        <f t="shared" si="28"/>
        <v>11.190052634906364</v>
      </c>
    </row>
    <row r="178" spans="1:19" s="22" customFormat="1" x14ac:dyDescent="0.35">
      <c r="A178" s="19">
        <v>166</v>
      </c>
      <c r="B178" s="19" t="s">
        <v>96</v>
      </c>
      <c r="C178" s="20" t="s">
        <v>426</v>
      </c>
      <c r="D178" s="116">
        <f>'As-Filed Schedule 4'!D178</f>
        <v>0</v>
      </c>
      <c r="E178" s="387">
        <f>SUMIFS(Adjustments!$G:$G,Adjustments!$H:$H,"4",Adjustments!$I:$I,'Schedule 4 Adjustments'!$D$14,Adjustments!$J:$J,'Schedule 4 Adjustments'!$A178)</f>
        <v>0</v>
      </c>
      <c r="F178" s="379">
        <f t="shared" si="22"/>
        <v>0</v>
      </c>
      <c r="G178" s="409">
        <v>1.29</v>
      </c>
      <c r="H178" s="47">
        <f t="shared" si="29"/>
        <v>0</v>
      </c>
      <c r="I178" s="377">
        <f t="shared" si="23"/>
        <v>0</v>
      </c>
      <c r="J178" s="21">
        <f t="shared" si="20"/>
        <v>120.29306582524342</v>
      </c>
      <c r="K178" s="375">
        <f t="shared" si="24"/>
        <v>120.29306582524342</v>
      </c>
      <c r="L178" s="150">
        <f>'As-Filed Schedule 4'!H178</f>
        <v>0</v>
      </c>
      <c r="M178" s="387">
        <f>SUMIFS(Adjustments!$G:$G,Adjustments!$H:$H,"4",Adjustments!$I:$I,'Schedule 4 Adjustments'!$L$14,Adjustments!$J:$J,'Schedule 4 Adjustments'!$A178)</f>
        <v>0</v>
      </c>
      <c r="N178" s="379">
        <f t="shared" si="25"/>
        <v>0</v>
      </c>
      <c r="O178" s="409">
        <v>1.1299999999999999</v>
      </c>
      <c r="P178" s="47">
        <f t="shared" si="26"/>
        <v>0</v>
      </c>
      <c r="Q178" s="377">
        <f t="shared" si="27"/>
        <v>0</v>
      </c>
      <c r="R178" s="21">
        <f t="shared" si="21"/>
        <v>105.37299564536825</v>
      </c>
      <c r="S178" s="375">
        <f t="shared" si="28"/>
        <v>105.37299564536825</v>
      </c>
    </row>
    <row r="179" spans="1:19" s="22" customFormat="1" x14ac:dyDescent="0.35">
      <c r="A179" s="19">
        <v>167</v>
      </c>
      <c r="B179" s="19" t="s">
        <v>35</v>
      </c>
      <c r="C179" s="20" t="s">
        <v>37</v>
      </c>
      <c r="D179" s="116">
        <f>'As-Filed Schedule 4'!D179</f>
        <v>0</v>
      </c>
      <c r="E179" s="387">
        <f>SUMIFS(Adjustments!$G:$G,Adjustments!$H:$H,"4",Adjustments!$I:$I,'Schedule 4 Adjustments'!$D$14,Adjustments!$J:$J,'Schedule 4 Adjustments'!$A179)</f>
        <v>0</v>
      </c>
      <c r="F179" s="379">
        <f t="shared" si="22"/>
        <v>0</v>
      </c>
      <c r="G179" s="409">
        <v>0</v>
      </c>
      <c r="H179" s="47">
        <f t="shared" si="29"/>
        <v>0</v>
      </c>
      <c r="I179" s="377">
        <f t="shared" si="23"/>
        <v>0</v>
      </c>
      <c r="J179" s="21">
        <f t="shared" si="20"/>
        <v>0</v>
      </c>
      <c r="K179" s="375">
        <f t="shared" si="24"/>
        <v>0</v>
      </c>
      <c r="L179" s="150">
        <f>'As-Filed Schedule 4'!H179</f>
        <v>0</v>
      </c>
      <c r="M179" s="387">
        <f>SUMIFS(Adjustments!$G:$G,Adjustments!$H:$H,"4",Adjustments!$I:$I,'Schedule 4 Adjustments'!$L$14,Adjustments!$J:$J,'Schedule 4 Adjustments'!$A179)</f>
        <v>0</v>
      </c>
      <c r="N179" s="379">
        <f t="shared" si="25"/>
        <v>0</v>
      </c>
      <c r="O179" s="409">
        <v>0</v>
      </c>
      <c r="P179" s="47">
        <f t="shared" si="26"/>
        <v>0</v>
      </c>
      <c r="Q179" s="377">
        <f t="shared" si="27"/>
        <v>0</v>
      </c>
      <c r="R179" s="21">
        <f t="shared" si="21"/>
        <v>0</v>
      </c>
      <c r="S179" s="375">
        <f t="shared" si="28"/>
        <v>0</v>
      </c>
    </row>
    <row r="180" spans="1:19" s="22" customFormat="1" x14ac:dyDescent="0.35">
      <c r="A180" s="19">
        <v>168</v>
      </c>
      <c r="B180" s="19" t="s">
        <v>97</v>
      </c>
      <c r="C180" s="20" t="s">
        <v>427</v>
      </c>
      <c r="D180" s="116">
        <f>'As-Filed Schedule 4'!D180</f>
        <v>0</v>
      </c>
      <c r="E180" s="387">
        <f>SUMIFS(Adjustments!$G:$G,Adjustments!$H:$H,"4",Adjustments!$I:$I,'Schedule 4 Adjustments'!$D$14,Adjustments!$J:$J,'Schedule 4 Adjustments'!$A180)</f>
        <v>0</v>
      </c>
      <c r="F180" s="379">
        <f t="shared" si="22"/>
        <v>0</v>
      </c>
      <c r="G180" s="409">
        <v>0</v>
      </c>
      <c r="H180" s="47">
        <f t="shared" si="29"/>
        <v>0</v>
      </c>
      <c r="I180" s="377">
        <f t="shared" si="23"/>
        <v>0</v>
      </c>
      <c r="J180" s="21">
        <f t="shared" si="20"/>
        <v>0</v>
      </c>
      <c r="K180" s="375">
        <f t="shared" si="24"/>
        <v>0</v>
      </c>
      <c r="L180" s="150">
        <f>'As-Filed Schedule 4'!H180</f>
        <v>0</v>
      </c>
      <c r="M180" s="387">
        <f>SUMIFS(Adjustments!$G:$G,Adjustments!$H:$H,"4",Adjustments!$I:$I,'Schedule 4 Adjustments'!$L$14,Adjustments!$J:$J,'Schedule 4 Adjustments'!$A180)</f>
        <v>0</v>
      </c>
      <c r="N180" s="379">
        <f t="shared" si="25"/>
        <v>0</v>
      </c>
      <c r="O180" s="409">
        <v>0</v>
      </c>
      <c r="P180" s="47">
        <f t="shared" si="26"/>
        <v>0</v>
      </c>
      <c r="Q180" s="377">
        <f t="shared" si="27"/>
        <v>0</v>
      </c>
      <c r="R180" s="21">
        <f t="shared" si="21"/>
        <v>0</v>
      </c>
      <c r="S180" s="375">
        <f t="shared" si="28"/>
        <v>0</v>
      </c>
    </row>
    <row r="181" spans="1:19" s="22" customFormat="1" x14ac:dyDescent="0.35">
      <c r="A181" s="19">
        <v>169</v>
      </c>
      <c r="B181" s="19" t="s">
        <v>98</v>
      </c>
      <c r="C181" s="20" t="s">
        <v>428</v>
      </c>
      <c r="D181" s="116">
        <f>'As-Filed Schedule 4'!D181</f>
        <v>0</v>
      </c>
      <c r="E181" s="387">
        <f>SUMIFS(Adjustments!$G:$G,Adjustments!$H:$H,"4",Adjustments!$I:$I,'Schedule 4 Adjustments'!$D$14,Adjustments!$J:$J,'Schedule 4 Adjustments'!$A181)</f>
        <v>0</v>
      </c>
      <c r="F181" s="379">
        <f t="shared" si="22"/>
        <v>0</v>
      </c>
      <c r="G181" s="409">
        <v>0.22</v>
      </c>
      <c r="H181" s="47">
        <f t="shared" si="29"/>
        <v>0</v>
      </c>
      <c r="I181" s="377">
        <f t="shared" si="23"/>
        <v>0</v>
      </c>
      <c r="J181" s="21">
        <f t="shared" si="20"/>
        <v>20.515096497328333</v>
      </c>
      <c r="K181" s="375">
        <f t="shared" si="24"/>
        <v>20.515096497328333</v>
      </c>
      <c r="L181" s="150">
        <f>'As-Filed Schedule 4'!H181</f>
        <v>0</v>
      </c>
      <c r="M181" s="387">
        <f>SUMIFS(Adjustments!$G:$G,Adjustments!$H:$H,"4",Adjustments!$I:$I,'Schedule 4 Adjustments'!$L$14,Adjustments!$J:$J,'Schedule 4 Adjustments'!$A181)</f>
        <v>0</v>
      </c>
      <c r="N181" s="379">
        <f t="shared" si="25"/>
        <v>0</v>
      </c>
      <c r="O181" s="409">
        <v>0.22</v>
      </c>
      <c r="P181" s="47">
        <f t="shared" si="26"/>
        <v>0</v>
      </c>
      <c r="Q181" s="377">
        <f t="shared" si="27"/>
        <v>0</v>
      </c>
      <c r="R181" s="21">
        <f t="shared" si="21"/>
        <v>20.515096497328333</v>
      </c>
      <c r="S181" s="375">
        <f t="shared" si="28"/>
        <v>20.515096497328333</v>
      </c>
    </row>
    <row r="182" spans="1:19" s="22" customFormat="1" x14ac:dyDescent="0.35">
      <c r="A182" s="19">
        <v>170</v>
      </c>
      <c r="B182" s="19" t="s">
        <v>99</v>
      </c>
      <c r="C182" s="20" t="s">
        <v>429</v>
      </c>
      <c r="D182" s="116">
        <f>'As-Filed Schedule 4'!D182</f>
        <v>0</v>
      </c>
      <c r="E182" s="387">
        <f>SUMIFS(Adjustments!$G:$G,Adjustments!$H:$H,"4",Adjustments!$I:$I,'Schedule 4 Adjustments'!$D$14,Adjustments!$J:$J,'Schedule 4 Adjustments'!$A182)</f>
        <v>0</v>
      </c>
      <c r="F182" s="379">
        <f t="shared" si="22"/>
        <v>0</v>
      </c>
      <c r="G182" s="409">
        <v>4.4000000000000004</v>
      </c>
      <c r="H182" s="47">
        <f t="shared" si="29"/>
        <v>0</v>
      </c>
      <c r="I182" s="377">
        <f t="shared" si="23"/>
        <v>0</v>
      </c>
      <c r="J182" s="21">
        <f t="shared" si="20"/>
        <v>410.3019299465667</v>
      </c>
      <c r="K182" s="375">
        <f t="shared" si="24"/>
        <v>410.3019299465667</v>
      </c>
      <c r="L182" s="150">
        <f>'As-Filed Schedule 4'!H182</f>
        <v>0</v>
      </c>
      <c r="M182" s="387">
        <f>SUMIFS(Adjustments!$G:$G,Adjustments!$H:$H,"4",Adjustments!$I:$I,'Schedule 4 Adjustments'!$L$14,Adjustments!$J:$J,'Schedule 4 Adjustments'!$A182)</f>
        <v>0</v>
      </c>
      <c r="N182" s="379">
        <f t="shared" si="25"/>
        <v>0</v>
      </c>
      <c r="O182" s="409">
        <v>4.4000000000000004</v>
      </c>
      <c r="P182" s="47">
        <f t="shared" si="26"/>
        <v>0</v>
      </c>
      <c r="Q182" s="377">
        <f t="shared" si="27"/>
        <v>0</v>
      </c>
      <c r="R182" s="21">
        <f t="shared" si="21"/>
        <v>410.3019299465667</v>
      </c>
      <c r="S182" s="375">
        <f t="shared" si="28"/>
        <v>410.3019299465667</v>
      </c>
    </row>
    <row r="183" spans="1:19" s="22" customFormat="1" x14ac:dyDescent="0.35">
      <c r="A183" s="19">
        <v>171</v>
      </c>
      <c r="B183" s="19" t="s">
        <v>100</v>
      </c>
      <c r="C183" s="20" t="s">
        <v>147</v>
      </c>
      <c r="D183" s="116">
        <f>'As-Filed Schedule 4'!D183</f>
        <v>0</v>
      </c>
      <c r="E183" s="387">
        <f>SUMIFS(Adjustments!$G:$G,Adjustments!$H:$H,"4",Adjustments!$I:$I,'Schedule 4 Adjustments'!$D$14,Adjustments!$J:$J,'Schedule 4 Adjustments'!$A183)</f>
        <v>0</v>
      </c>
      <c r="F183" s="379">
        <f t="shared" si="22"/>
        <v>0</v>
      </c>
      <c r="G183" s="409">
        <v>1.02</v>
      </c>
      <c r="H183" s="47">
        <f t="shared" si="29"/>
        <v>0</v>
      </c>
      <c r="I183" s="377">
        <f t="shared" si="23"/>
        <v>0</v>
      </c>
      <c r="J183" s="21">
        <f t="shared" si="20"/>
        <v>95.115447396704099</v>
      </c>
      <c r="K183" s="375">
        <f t="shared" si="24"/>
        <v>95.115447396704099</v>
      </c>
      <c r="L183" s="150">
        <f>'As-Filed Schedule 4'!H183</f>
        <v>3</v>
      </c>
      <c r="M183" s="387">
        <f>SUMIFS(Adjustments!$G:$G,Adjustments!$H:$H,"4",Adjustments!$I:$I,'Schedule 4 Adjustments'!$L$14,Adjustments!$J:$J,'Schedule 4 Adjustments'!$A183)</f>
        <v>0</v>
      </c>
      <c r="N183" s="379">
        <f t="shared" si="25"/>
        <v>3</v>
      </c>
      <c r="O183" s="409">
        <v>0.94</v>
      </c>
      <c r="P183" s="47">
        <f t="shared" si="26"/>
        <v>2.82</v>
      </c>
      <c r="Q183" s="377">
        <f t="shared" si="27"/>
        <v>2.82</v>
      </c>
      <c r="R183" s="21">
        <f t="shared" si="21"/>
        <v>87.655412306766507</v>
      </c>
      <c r="S183" s="375">
        <f t="shared" si="28"/>
        <v>87.655412306766507</v>
      </c>
    </row>
    <row r="184" spans="1:19" s="22" customFormat="1" x14ac:dyDescent="0.35">
      <c r="A184" s="19">
        <v>172</v>
      </c>
      <c r="B184" s="19" t="s">
        <v>101</v>
      </c>
      <c r="C184" s="20" t="s">
        <v>148</v>
      </c>
      <c r="D184" s="116">
        <f>'As-Filed Schedule 4'!D184</f>
        <v>0</v>
      </c>
      <c r="E184" s="387">
        <f>SUMIFS(Adjustments!$G:$G,Adjustments!$H:$H,"4",Adjustments!$I:$I,'Schedule 4 Adjustments'!$D$14,Adjustments!$J:$J,'Schedule 4 Adjustments'!$A184)</f>
        <v>0</v>
      </c>
      <c r="F184" s="379">
        <f t="shared" si="22"/>
        <v>0</v>
      </c>
      <c r="G184" s="409">
        <v>0.75</v>
      </c>
      <c r="H184" s="47">
        <f t="shared" si="29"/>
        <v>0</v>
      </c>
      <c r="I184" s="377">
        <f t="shared" si="23"/>
        <v>0</v>
      </c>
      <c r="J184" s="21">
        <f t="shared" si="20"/>
        <v>69.93782896816478</v>
      </c>
      <c r="K184" s="375">
        <f t="shared" si="24"/>
        <v>69.93782896816478</v>
      </c>
      <c r="L184" s="150">
        <f>'As-Filed Schedule 4'!H184</f>
        <v>0</v>
      </c>
      <c r="M184" s="387">
        <f>SUMIFS(Adjustments!$G:$G,Adjustments!$H:$H,"4",Adjustments!$I:$I,'Schedule 4 Adjustments'!$L$14,Adjustments!$J:$J,'Schedule 4 Adjustments'!$A184)</f>
        <v>0</v>
      </c>
      <c r="N184" s="379">
        <f t="shared" si="25"/>
        <v>0</v>
      </c>
      <c r="O184" s="409">
        <v>0.37</v>
      </c>
      <c r="P184" s="47">
        <f t="shared" si="26"/>
        <v>0</v>
      </c>
      <c r="Q184" s="377">
        <f t="shared" si="27"/>
        <v>0</v>
      </c>
      <c r="R184" s="21">
        <f t="shared" si="21"/>
        <v>34.50266229096129</v>
      </c>
      <c r="S184" s="375">
        <f t="shared" si="28"/>
        <v>34.50266229096129</v>
      </c>
    </row>
    <row r="185" spans="1:19" s="22" customFormat="1" x14ac:dyDescent="0.35">
      <c r="A185" s="19">
        <v>173</v>
      </c>
      <c r="B185" s="19" t="s">
        <v>102</v>
      </c>
      <c r="C185" s="20" t="s">
        <v>430</v>
      </c>
      <c r="D185" s="116">
        <f>'As-Filed Schedule 4'!D185</f>
        <v>0</v>
      </c>
      <c r="E185" s="387">
        <f>SUMIFS(Adjustments!$G:$G,Adjustments!$H:$H,"4",Adjustments!$I:$I,'Schedule 4 Adjustments'!$D$14,Adjustments!$J:$J,'Schedule 4 Adjustments'!$A185)</f>
        <v>0</v>
      </c>
      <c r="F185" s="379">
        <f t="shared" si="22"/>
        <v>0</v>
      </c>
      <c r="G185" s="409">
        <v>0.75</v>
      </c>
      <c r="H185" s="47">
        <f t="shared" si="29"/>
        <v>0</v>
      </c>
      <c r="I185" s="377">
        <f t="shared" si="23"/>
        <v>0</v>
      </c>
      <c r="J185" s="21">
        <f t="shared" si="20"/>
        <v>69.93782896816478</v>
      </c>
      <c r="K185" s="375">
        <f t="shared" si="24"/>
        <v>69.93782896816478</v>
      </c>
      <c r="L185" s="150">
        <f>'As-Filed Schedule 4'!H185</f>
        <v>0</v>
      </c>
      <c r="M185" s="387">
        <f>SUMIFS(Adjustments!$G:$G,Adjustments!$H:$H,"4",Adjustments!$I:$I,'Schedule 4 Adjustments'!$L$14,Adjustments!$J:$J,'Schedule 4 Adjustments'!$A185)</f>
        <v>0</v>
      </c>
      <c r="N185" s="379">
        <f t="shared" si="25"/>
        <v>0</v>
      </c>
      <c r="O185" s="409">
        <v>0.37</v>
      </c>
      <c r="P185" s="47">
        <f t="shared" si="26"/>
        <v>0</v>
      </c>
      <c r="Q185" s="377">
        <f t="shared" si="27"/>
        <v>0</v>
      </c>
      <c r="R185" s="21">
        <f t="shared" si="21"/>
        <v>34.50266229096129</v>
      </c>
      <c r="S185" s="375">
        <f t="shared" si="28"/>
        <v>34.50266229096129</v>
      </c>
    </row>
    <row r="186" spans="1:19" s="22" customFormat="1" x14ac:dyDescent="0.35">
      <c r="A186" s="19">
        <v>174</v>
      </c>
      <c r="B186" s="19" t="s">
        <v>103</v>
      </c>
      <c r="C186" s="20" t="s">
        <v>431</v>
      </c>
      <c r="D186" s="116">
        <f>'As-Filed Schedule 4'!D186</f>
        <v>0</v>
      </c>
      <c r="E186" s="387">
        <f>SUMIFS(Adjustments!$G:$G,Adjustments!$H:$H,"4",Adjustments!$I:$I,'Schedule 4 Adjustments'!$D$14,Adjustments!$J:$J,'Schedule 4 Adjustments'!$A186)</f>
        <v>0</v>
      </c>
      <c r="F186" s="379">
        <f t="shared" si="22"/>
        <v>0</v>
      </c>
      <c r="G186" s="409">
        <v>3.96</v>
      </c>
      <c r="H186" s="47">
        <f t="shared" si="29"/>
        <v>0</v>
      </c>
      <c r="I186" s="377">
        <f t="shared" si="23"/>
        <v>0</v>
      </c>
      <c r="J186" s="21">
        <f t="shared" si="20"/>
        <v>369.27173695190999</v>
      </c>
      <c r="K186" s="375">
        <f t="shared" si="24"/>
        <v>369.27173695190999</v>
      </c>
      <c r="L186" s="150">
        <f>'As-Filed Schedule 4'!H186</f>
        <v>1077</v>
      </c>
      <c r="M186" s="387">
        <f>SUMIFS(Adjustments!$G:$G,Adjustments!$H:$H,"4",Adjustments!$I:$I,'Schedule 4 Adjustments'!$L$14,Adjustments!$J:$J,'Schedule 4 Adjustments'!$A186)</f>
        <v>0</v>
      </c>
      <c r="N186" s="379">
        <f t="shared" si="25"/>
        <v>1077</v>
      </c>
      <c r="O186" s="409">
        <v>3.96</v>
      </c>
      <c r="P186" s="47">
        <f t="shared" si="26"/>
        <v>4264.92</v>
      </c>
      <c r="Q186" s="377">
        <f t="shared" si="27"/>
        <v>4264.92</v>
      </c>
      <c r="R186" s="21">
        <f t="shared" si="21"/>
        <v>369.27173695190999</v>
      </c>
      <c r="S186" s="375">
        <f t="shared" si="28"/>
        <v>369.27173695190999</v>
      </c>
    </row>
    <row r="187" spans="1:19" s="22" customFormat="1" x14ac:dyDescent="0.35">
      <c r="A187" s="19">
        <v>175</v>
      </c>
      <c r="B187" s="19" t="s">
        <v>104</v>
      </c>
      <c r="C187" s="20" t="s">
        <v>432</v>
      </c>
      <c r="D187" s="116">
        <f>'As-Filed Schedule 4'!D187</f>
        <v>0</v>
      </c>
      <c r="E187" s="387">
        <f>SUMIFS(Adjustments!$G:$G,Adjustments!$H:$H,"4",Adjustments!$I:$I,'Schedule 4 Adjustments'!$D$14,Adjustments!$J:$J,'Schedule 4 Adjustments'!$A187)</f>
        <v>0</v>
      </c>
      <c r="F187" s="379">
        <f t="shared" si="22"/>
        <v>0</v>
      </c>
      <c r="G187" s="409">
        <v>3.59</v>
      </c>
      <c r="H187" s="47">
        <f t="shared" si="29"/>
        <v>0</v>
      </c>
      <c r="I187" s="377">
        <f t="shared" si="23"/>
        <v>0</v>
      </c>
      <c r="J187" s="21">
        <f t="shared" si="20"/>
        <v>334.76907466094872</v>
      </c>
      <c r="K187" s="375">
        <f t="shared" si="24"/>
        <v>334.76907466094872</v>
      </c>
      <c r="L187" s="150">
        <f>'As-Filed Schedule 4'!H187</f>
        <v>1</v>
      </c>
      <c r="M187" s="387">
        <f>SUMIFS(Adjustments!$G:$G,Adjustments!$H:$H,"4",Adjustments!$I:$I,'Schedule 4 Adjustments'!$L$14,Adjustments!$J:$J,'Schedule 4 Adjustments'!$A187)</f>
        <v>0</v>
      </c>
      <c r="N187" s="379">
        <f t="shared" si="25"/>
        <v>1</v>
      </c>
      <c r="O187" s="409">
        <v>3.59</v>
      </c>
      <c r="P187" s="47">
        <f t="shared" si="26"/>
        <v>3.59</v>
      </c>
      <c r="Q187" s="377">
        <f t="shared" si="27"/>
        <v>3.59</v>
      </c>
      <c r="R187" s="21">
        <f t="shared" si="21"/>
        <v>334.76907466094872</v>
      </c>
      <c r="S187" s="375">
        <f t="shared" si="28"/>
        <v>334.76907466094872</v>
      </c>
    </row>
    <row r="188" spans="1:19" s="22" customFormat="1" x14ac:dyDescent="0.35">
      <c r="A188" s="19">
        <v>176</v>
      </c>
      <c r="B188" s="19" t="s">
        <v>36</v>
      </c>
      <c r="C188" s="20" t="s">
        <v>38</v>
      </c>
      <c r="D188" s="116">
        <f>'As-Filed Schedule 4'!D188</f>
        <v>0</v>
      </c>
      <c r="E188" s="387">
        <f>SUMIFS(Adjustments!$G:$G,Adjustments!$H:$H,"4",Adjustments!$I:$I,'Schedule 4 Adjustments'!$D$14,Adjustments!$J:$J,'Schedule 4 Adjustments'!$A188)</f>
        <v>0</v>
      </c>
      <c r="F188" s="379">
        <f t="shared" si="22"/>
        <v>0</v>
      </c>
      <c r="G188" s="409">
        <v>0</v>
      </c>
      <c r="H188" s="47">
        <f t="shared" si="29"/>
        <v>0</v>
      </c>
      <c r="I188" s="377">
        <f t="shared" si="23"/>
        <v>0</v>
      </c>
      <c r="J188" s="21">
        <f t="shared" si="20"/>
        <v>0</v>
      </c>
      <c r="K188" s="375">
        <f t="shared" si="24"/>
        <v>0</v>
      </c>
      <c r="L188" s="150">
        <f>'As-Filed Schedule 4'!H188</f>
        <v>0</v>
      </c>
      <c r="M188" s="387">
        <f>SUMIFS(Adjustments!$G:$G,Adjustments!$H:$H,"4",Adjustments!$I:$I,'Schedule 4 Adjustments'!$L$14,Adjustments!$J:$J,'Schedule 4 Adjustments'!$A188)</f>
        <v>0</v>
      </c>
      <c r="N188" s="379">
        <f t="shared" si="25"/>
        <v>0</v>
      </c>
      <c r="O188" s="409">
        <v>0</v>
      </c>
      <c r="P188" s="47">
        <f t="shared" si="26"/>
        <v>0</v>
      </c>
      <c r="Q188" s="377">
        <f t="shared" si="27"/>
        <v>0</v>
      </c>
      <c r="R188" s="21">
        <f t="shared" si="21"/>
        <v>0</v>
      </c>
      <c r="S188" s="375">
        <f t="shared" si="28"/>
        <v>0</v>
      </c>
    </row>
    <row r="189" spans="1:19" s="22" customFormat="1" x14ac:dyDescent="0.35">
      <c r="A189" s="19">
        <v>177</v>
      </c>
      <c r="B189" s="19" t="s">
        <v>105</v>
      </c>
      <c r="C189" s="20" t="s">
        <v>433</v>
      </c>
      <c r="D189" s="116">
        <f>'As-Filed Schedule 4'!D189</f>
        <v>0</v>
      </c>
      <c r="E189" s="387">
        <f>SUMIFS(Adjustments!$G:$G,Adjustments!$H:$H,"4",Adjustments!$I:$I,'Schedule 4 Adjustments'!$D$14,Adjustments!$J:$J,'Schedule 4 Adjustments'!$A189)</f>
        <v>0</v>
      </c>
      <c r="F189" s="379">
        <f t="shared" si="22"/>
        <v>0</v>
      </c>
      <c r="G189" s="409">
        <v>0.28999999999999998</v>
      </c>
      <c r="H189" s="47">
        <f t="shared" si="29"/>
        <v>0</v>
      </c>
      <c r="I189" s="377">
        <f t="shared" si="23"/>
        <v>0</v>
      </c>
      <c r="J189" s="21">
        <f t="shared" si="20"/>
        <v>27.042627201023709</v>
      </c>
      <c r="K189" s="375">
        <f t="shared" si="24"/>
        <v>27.042627201023709</v>
      </c>
      <c r="L189" s="150">
        <f>'As-Filed Schedule 4'!H189</f>
        <v>0</v>
      </c>
      <c r="M189" s="387">
        <f>SUMIFS(Adjustments!$G:$G,Adjustments!$H:$H,"4",Adjustments!$I:$I,'Schedule 4 Adjustments'!$L$14,Adjustments!$J:$J,'Schedule 4 Adjustments'!$A189)</f>
        <v>0</v>
      </c>
      <c r="N189" s="379">
        <f t="shared" si="25"/>
        <v>0</v>
      </c>
      <c r="O189" s="409">
        <v>0.28999999999999998</v>
      </c>
      <c r="P189" s="47">
        <f t="shared" si="26"/>
        <v>0</v>
      </c>
      <c r="Q189" s="377">
        <f t="shared" si="27"/>
        <v>0</v>
      </c>
      <c r="R189" s="21">
        <f t="shared" si="21"/>
        <v>27.042627201023709</v>
      </c>
      <c r="S189" s="375">
        <f t="shared" si="28"/>
        <v>27.042627201023709</v>
      </c>
    </row>
    <row r="190" spans="1:19" s="22" customFormat="1" x14ac:dyDescent="0.35">
      <c r="A190" s="19">
        <v>178</v>
      </c>
      <c r="B190" s="19" t="s">
        <v>106</v>
      </c>
      <c r="C190" s="20" t="s">
        <v>149</v>
      </c>
      <c r="D190" s="116">
        <f>'As-Filed Schedule 4'!D190</f>
        <v>0</v>
      </c>
      <c r="E190" s="387">
        <f>SUMIFS(Adjustments!$G:$G,Adjustments!$H:$H,"4",Adjustments!$I:$I,'Schedule 4 Adjustments'!$D$14,Adjustments!$J:$J,'Schedule 4 Adjustments'!$A190)</f>
        <v>0</v>
      </c>
      <c r="F190" s="379">
        <f t="shared" si="22"/>
        <v>0</v>
      </c>
      <c r="G190" s="409">
        <v>3.07</v>
      </c>
      <c r="H190" s="47">
        <f t="shared" si="29"/>
        <v>0</v>
      </c>
      <c r="I190" s="377">
        <f t="shared" si="23"/>
        <v>0</v>
      </c>
      <c r="J190" s="21">
        <f t="shared" si="20"/>
        <v>286.27884657635445</v>
      </c>
      <c r="K190" s="375">
        <f t="shared" si="24"/>
        <v>286.27884657635445</v>
      </c>
      <c r="L190" s="150">
        <f>'As-Filed Schedule 4'!H190</f>
        <v>0</v>
      </c>
      <c r="M190" s="387">
        <f>SUMIFS(Adjustments!$G:$G,Adjustments!$H:$H,"4",Adjustments!$I:$I,'Schedule 4 Adjustments'!$L$14,Adjustments!$J:$J,'Schedule 4 Adjustments'!$A190)</f>
        <v>0</v>
      </c>
      <c r="N190" s="379">
        <f t="shared" si="25"/>
        <v>0</v>
      </c>
      <c r="O190" s="409">
        <v>3.05</v>
      </c>
      <c r="P190" s="47">
        <f t="shared" si="26"/>
        <v>0</v>
      </c>
      <c r="Q190" s="377">
        <f t="shared" si="27"/>
        <v>0</v>
      </c>
      <c r="R190" s="21">
        <f t="shared" si="21"/>
        <v>284.41383780387008</v>
      </c>
      <c r="S190" s="375">
        <f t="shared" si="28"/>
        <v>284.41383780387008</v>
      </c>
    </row>
    <row r="191" spans="1:19" s="22" customFormat="1" ht="29" x14ac:dyDescent="0.35">
      <c r="A191" s="19">
        <v>179</v>
      </c>
      <c r="B191" s="19" t="s">
        <v>27</v>
      </c>
      <c r="C191" s="20" t="s">
        <v>30</v>
      </c>
      <c r="D191" s="116">
        <f>'As-Filed Schedule 4'!D191</f>
        <v>0</v>
      </c>
      <c r="E191" s="387">
        <f>SUMIFS(Adjustments!$G:$G,Adjustments!$H:$H,"4",Adjustments!$I:$I,'Schedule 4 Adjustments'!$D$14,Adjustments!$J:$J,'Schedule 4 Adjustments'!$A191)</f>
        <v>0</v>
      </c>
      <c r="F191" s="379">
        <f t="shared" si="22"/>
        <v>0</v>
      </c>
      <c r="G191" s="409">
        <v>0</v>
      </c>
      <c r="H191" s="47">
        <f t="shared" si="29"/>
        <v>0</v>
      </c>
      <c r="I191" s="377">
        <f t="shared" si="23"/>
        <v>0</v>
      </c>
      <c r="J191" s="21">
        <f t="shared" si="20"/>
        <v>0</v>
      </c>
      <c r="K191" s="375">
        <f t="shared" si="24"/>
        <v>0</v>
      </c>
      <c r="L191" s="150">
        <f>'As-Filed Schedule 4'!H191</f>
        <v>0</v>
      </c>
      <c r="M191" s="387">
        <f>SUMIFS(Adjustments!$G:$G,Adjustments!$H:$H,"4",Adjustments!$I:$I,'Schedule 4 Adjustments'!$L$14,Adjustments!$J:$J,'Schedule 4 Adjustments'!$A191)</f>
        <v>0</v>
      </c>
      <c r="N191" s="379">
        <f t="shared" si="25"/>
        <v>0</v>
      </c>
      <c r="O191" s="409">
        <v>0</v>
      </c>
      <c r="P191" s="47">
        <f t="shared" si="26"/>
        <v>0</v>
      </c>
      <c r="Q191" s="377">
        <f t="shared" si="27"/>
        <v>0</v>
      </c>
      <c r="R191" s="21">
        <f t="shared" si="21"/>
        <v>0</v>
      </c>
      <c r="S191" s="375">
        <f t="shared" si="28"/>
        <v>0</v>
      </c>
    </row>
    <row r="192" spans="1:19" s="22" customFormat="1" x14ac:dyDescent="0.35">
      <c r="A192" s="19">
        <v>180</v>
      </c>
      <c r="B192" s="19" t="s">
        <v>107</v>
      </c>
      <c r="C192" s="20" t="s">
        <v>150</v>
      </c>
      <c r="D192" s="116">
        <f>'As-Filed Schedule 4'!D192</f>
        <v>0</v>
      </c>
      <c r="E192" s="387">
        <f>SUMIFS(Adjustments!$G:$G,Adjustments!$H:$H,"4",Adjustments!$I:$I,'Schedule 4 Adjustments'!$D$14,Adjustments!$J:$J,'Schedule 4 Adjustments'!$A192)</f>
        <v>0</v>
      </c>
      <c r="F192" s="379">
        <f t="shared" si="22"/>
        <v>0</v>
      </c>
      <c r="G192" s="409">
        <v>0.59</v>
      </c>
      <c r="H192" s="47">
        <f t="shared" si="29"/>
        <v>0</v>
      </c>
      <c r="I192" s="377">
        <f t="shared" si="23"/>
        <v>0</v>
      </c>
      <c r="J192" s="21">
        <f t="shared" si="20"/>
        <v>55.017758788289619</v>
      </c>
      <c r="K192" s="375">
        <f t="shared" si="24"/>
        <v>55.017758788289619</v>
      </c>
      <c r="L192" s="150">
        <f>'As-Filed Schedule 4'!H192</f>
        <v>0</v>
      </c>
      <c r="M192" s="387">
        <f>SUMIFS(Adjustments!$G:$G,Adjustments!$H:$H,"4",Adjustments!$I:$I,'Schedule 4 Adjustments'!$L$14,Adjustments!$J:$J,'Schedule 4 Adjustments'!$A192)</f>
        <v>0</v>
      </c>
      <c r="N192" s="379">
        <f t="shared" si="25"/>
        <v>0</v>
      </c>
      <c r="O192" s="409">
        <v>0.55000000000000004</v>
      </c>
      <c r="P192" s="47">
        <f t="shared" si="26"/>
        <v>0</v>
      </c>
      <c r="Q192" s="377">
        <f t="shared" si="27"/>
        <v>0</v>
      </c>
      <c r="R192" s="21">
        <f t="shared" si="21"/>
        <v>51.287741243320838</v>
      </c>
      <c r="S192" s="375">
        <f t="shared" si="28"/>
        <v>51.287741243320838</v>
      </c>
    </row>
    <row r="193" spans="1:19" s="22" customFormat="1" x14ac:dyDescent="0.35">
      <c r="A193" s="19">
        <v>181</v>
      </c>
      <c r="B193" s="19" t="s">
        <v>28</v>
      </c>
      <c r="C193" s="20" t="s">
        <v>31</v>
      </c>
      <c r="D193" s="116">
        <f>'As-Filed Schedule 4'!D193</f>
        <v>0</v>
      </c>
      <c r="E193" s="387">
        <f>SUMIFS(Adjustments!$G:$G,Adjustments!$H:$H,"4",Adjustments!$I:$I,'Schedule 4 Adjustments'!$D$14,Adjustments!$J:$J,'Schedule 4 Adjustments'!$A193)</f>
        <v>0</v>
      </c>
      <c r="F193" s="379">
        <f t="shared" si="22"/>
        <v>0</v>
      </c>
      <c r="G193" s="409">
        <v>0</v>
      </c>
      <c r="H193" s="47">
        <f t="shared" si="29"/>
        <v>0</v>
      </c>
      <c r="I193" s="377">
        <f t="shared" si="23"/>
        <v>0</v>
      </c>
      <c r="J193" s="21">
        <f t="shared" si="20"/>
        <v>0</v>
      </c>
      <c r="K193" s="375">
        <f t="shared" si="24"/>
        <v>0</v>
      </c>
      <c r="L193" s="150">
        <f>'As-Filed Schedule 4'!H193</f>
        <v>0</v>
      </c>
      <c r="M193" s="387">
        <f>SUMIFS(Adjustments!$G:$G,Adjustments!$H:$H,"4",Adjustments!$I:$I,'Schedule 4 Adjustments'!$L$14,Adjustments!$J:$J,'Schedule 4 Adjustments'!$A193)</f>
        <v>0</v>
      </c>
      <c r="N193" s="379">
        <f t="shared" si="25"/>
        <v>0</v>
      </c>
      <c r="O193" s="409">
        <v>0</v>
      </c>
      <c r="P193" s="47">
        <f t="shared" si="26"/>
        <v>0</v>
      </c>
      <c r="Q193" s="377">
        <f t="shared" si="27"/>
        <v>0</v>
      </c>
      <c r="R193" s="21">
        <f t="shared" si="21"/>
        <v>0</v>
      </c>
      <c r="S193" s="375">
        <f t="shared" si="28"/>
        <v>0</v>
      </c>
    </row>
    <row r="194" spans="1:19" s="22" customFormat="1" x14ac:dyDescent="0.35">
      <c r="A194" s="19">
        <v>182</v>
      </c>
      <c r="B194" s="19" t="s">
        <v>108</v>
      </c>
      <c r="C194" s="20" t="s">
        <v>434</v>
      </c>
      <c r="D194" s="116">
        <f>'As-Filed Schedule 4'!D194</f>
        <v>18</v>
      </c>
      <c r="E194" s="387">
        <f>SUMIFS(Adjustments!$G:$G,Adjustments!$H:$H,"4",Adjustments!$I:$I,'Schedule 4 Adjustments'!$D$14,Adjustments!$J:$J,'Schedule 4 Adjustments'!$A194)</f>
        <v>0</v>
      </c>
      <c r="F194" s="379">
        <f t="shared" si="22"/>
        <v>18</v>
      </c>
      <c r="G194" s="409">
        <v>0.64</v>
      </c>
      <c r="H194" s="47">
        <f t="shared" si="29"/>
        <v>11.52</v>
      </c>
      <c r="I194" s="377">
        <f t="shared" si="23"/>
        <v>11.52</v>
      </c>
      <c r="J194" s="21">
        <f t="shared" si="20"/>
        <v>59.680280719500608</v>
      </c>
      <c r="K194" s="375">
        <f t="shared" si="24"/>
        <v>59.680280719500608</v>
      </c>
      <c r="L194" s="150">
        <f>'As-Filed Schedule 4'!H194</f>
        <v>669</v>
      </c>
      <c r="M194" s="387">
        <f>SUMIFS(Adjustments!$G:$G,Adjustments!$H:$H,"4",Adjustments!$I:$I,'Schedule 4 Adjustments'!$L$14,Adjustments!$J:$J,'Schedule 4 Adjustments'!$A194)</f>
        <v>0</v>
      </c>
      <c r="N194" s="379">
        <f t="shared" si="25"/>
        <v>669</v>
      </c>
      <c r="O194" s="409">
        <v>0.6</v>
      </c>
      <c r="P194" s="47">
        <f t="shared" si="26"/>
        <v>401.4</v>
      </c>
      <c r="Q194" s="377">
        <f t="shared" si="27"/>
        <v>401.4</v>
      </c>
      <c r="R194" s="21">
        <f t="shared" si="21"/>
        <v>55.95026317453182</v>
      </c>
      <c r="S194" s="375">
        <f t="shared" si="28"/>
        <v>55.95026317453182</v>
      </c>
    </row>
    <row r="195" spans="1:19" s="22" customFormat="1" x14ac:dyDescent="0.35">
      <c r="A195" s="19">
        <v>183</v>
      </c>
      <c r="B195" s="19" t="s">
        <v>109</v>
      </c>
      <c r="C195" s="20" t="s">
        <v>151</v>
      </c>
      <c r="D195" s="116">
        <f>'As-Filed Schedule 4'!D195</f>
        <v>3435</v>
      </c>
      <c r="E195" s="387">
        <f>SUMIFS(Adjustments!$G:$G,Adjustments!$H:$H,"4",Adjustments!$I:$I,'Schedule 4 Adjustments'!$D$14,Adjustments!$J:$J,'Schedule 4 Adjustments'!$A195)</f>
        <v>0</v>
      </c>
      <c r="F195" s="379">
        <f t="shared" si="22"/>
        <v>3435</v>
      </c>
      <c r="G195" s="409">
        <v>0.65000000000000013</v>
      </c>
      <c r="H195" s="47">
        <f t="shared" si="29"/>
        <v>2232.7500000000005</v>
      </c>
      <c r="I195" s="377">
        <f t="shared" si="23"/>
        <v>2232.7500000000005</v>
      </c>
      <c r="J195" s="21">
        <f t="shared" si="20"/>
        <v>60.612785105742816</v>
      </c>
      <c r="K195" s="375">
        <f t="shared" si="24"/>
        <v>60.612785105742816</v>
      </c>
      <c r="L195" s="150">
        <f>'As-Filed Schedule 4'!H195</f>
        <v>14772</v>
      </c>
      <c r="M195" s="387">
        <f>SUMIFS(Adjustments!$G:$G,Adjustments!$H:$H,"4",Adjustments!$I:$I,'Schedule 4 Adjustments'!$L$14,Adjustments!$J:$J,'Schedule 4 Adjustments'!$A195)</f>
        <v>0</v>
      </c>
      <c r="N195" s="379">
        <f t="shared" si="25"/>
        <v>14772</v>
      </c>
      <c r="O195" s="409">
        <v>0.59999999999999987</v>
      </c>
      <c r="P195" s="47">
        <f t="shared" si="26"/>
        <v>8863.1999999999989</v>
      </c>
      <c r="Q195" s="377">
        <f t="shared" si="27"/>
        <v>8863.1999999999989</v>
      </c>
      <c r="R195" s="21">
        <f t="shared" si="21"/>
        <v>55.950263174531806</v>
      </c>
      <c r="S195" s="375">
        <f t="shared" si="28"/>
        <v>55.950263174531806</v>
      </c>
    </row>
    <row r="196" spans="1:19" s="22" customFormat="1" x14ac:dyDescent="0.35">
      <c r="A196" s="19">
        <v>184</v>
      </c>
      <c r="B196" s="19" t="s">
        <v>29</v>
      </c>
      <c r="C196" s="20" t="s">
        <v>32</v>
      </c>
      <c r="D196" s="116">
        <f>'As-Filed Schedule 4'!D196</f>
        <v>0</v>
      </c>
      <c r="E196" s="387">
        <f>SUMIFS(Adjustments!$G:$G,Adjustments!$H:$H,"4",Adjustments!$I:$I,'Schedule 4 Adjustments'!$D$14,Adjustments!$J:$J,'Schedule 4 Adjustments'!$A196)</f>
        <v>0</v>
      </c>
      <c r="F196" s="379">
        <f t="shared" si="22"/>
        <v>0</v>
      </c>
      <c r="G196" s="409">
        <v>0</v>
      </c>
      <c r="H196" s="47">
        <f t="shared" si="29"/>
        <v>0</v>
      </c>
      <c r="I196" s="377">
        <f t="shared" si="23"/>
        <v>0</v>
      </c>
      <c r="J196" s="21">
        <f t="shared" si="20"/>
        <v>0</v>
      </c>
      <c r="K196" s="375">
        <f t="shared" si="24"/>
        <v>0</v>
      </c>
      <c r="L196" s="150">
        <f>'As-Filed Schedule 4'!H196</f>
        <v>0</v>
      </c>
      <c r="M196" s="387">
        <f>SUMIFS(Adjustments!$G:$G,Adjustments!$H:$H,"4",Adjustments!$I:$I,'Schedule 4 Adjustments'!$L$14,Adjustments!$J:$J,'Schedule 4 Adjustments'!$A196)</f>
        <v>0</v>
      </c>
      <c r="N196" s="379">
        <f t="shared" si="25"/>
        <v>0</v>
      </c>
      <c r="O196" s="409">
        <v>0</v>
      </c>
      <c r="P196" s="47">
        <f t="shared" si="26"/>
        <v>0</v>
      </c>
      <c r="Q196" s="377">
        <f t="shared" si="27"/>
        <v>0</v>
      </c>
      <c r="R196" s="21">
        <f t="shared" si="21"/>
        <v>0</v>
      </c>
      <c r="S196" s="375">
        <f t="shared" si="28"/>
        <v>0</v>
      </c>
    </row>
    <row r="197" spans="1:19" x14ac:dyDescent="0.35">
      <c r="A197" s="19">
        <v>185</v>
      </c>
      <c r="D197" s="9">
        <f>SUM(D18:D196)</f>
        <v>36616</v>
      </c>
      <c r="E197" s="9">
        <f>SUM(E18:E196)</f>
        <v>0</v>
      </c>
      <c r="F197" s="378">
        <f>SUM(F18:F196)</f>
        <v>36616</v>
      </c>
      <c r="G197" s="13"/>
      <c r="H197" s="9">
        <f>SUM(H18:H196)</f>
        <v>36135.040000000001</v>
      </c>
      <c r="I197" s="378">
        <f>SUM(I18:I196)</f>
        <v>36135.040000000001</v>
      </c>
      <c r="L197" s="9">
        <f>SUM(L18:L196)</f>
        <v>229211</v>
      </c>
      <c r="M197" s="9">
        <f t="shared" ref="M197:N197" si="40">SUM(M18:M196)</f>
        <v>0</v>
      </c>
      <c r="N197" s="9">
        <f t="shared" si="40"/>
        <v>229211</v>
      </c>
      <c r="P197" s="9">
        <f>SUM(P18:P196)</f>
        <v>350327.89999999997</v>
      </c>
      <c r="Q197" s="378">
        <f>SUM(Q18:Q196)</f>
        <v>350327.89999999997</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08984375" defaultRowHeight="14.5" x14ac:dyDescent="0.35"/>
  <cols>
    <col min="2" max="2" width="16.54296875" customWidth="1"/>
    <col min="3" max="3" width="40.6328125" customWidth="1"/>
    <col min="4" max="4" width="26.6328125" style="100" customWidth="1"/>
    <col min="5" max="5" width="26.6328125" style="261" customWidth="1"/>
    <col min="6" max="6" width="26.6328125" style="48" customWidth="1"/>
    <col min="7" max="7" width="3" customWidth="1"/>
    <col min="8" max="8" width="9.08984375" customWidth="1"/>
    <col min="9" max="9" width="33.36328125" style="48" customWidth="1"/>
    <col min="10" max="10" width="30.36328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0" t="str">
        <f>Results!$C$6</f>
        <v>Diversus Health</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486" t="s">
        <v>868</v>
      </c>
      <c r="C9" s="486"/>
      <c r="D9" s="151" t="s">
        <v>869</v>
      </c>
      <c r="E9" s="258" t="s">
        <v>900</v>
      </c>
      <c r="F9" s="259" t="s">
        <v>901</v>
      </c>
      <c r="I9" s="129"/>
      <c r="J9" s="129"/>
      <c r="K9" s="129"/>
      <c r="L9" s="129"/>
      <c r="M9" s="129"/>
      <c r="N9" s="129"/>
      <c r="O9" s="129"/>
    </row>
    <row r="10" spans="1:15" s="6" customFormat="1" x14ac:dyDescent="0.35">
      <c r="A10" s="97"/>
      <c r="B10" s="433"/>
      <c r="C10" s="434"/>
      <c r="D10" s="435"/>
      <c r="E10" s="343"/>
      <c r="F10" s="129"/>
      <c r="I10" s="129"/>
      <c r="J10" s="129"/>
      <c r="K10" s="129"/>
      <c r="L10" s="129"/>
      <c r="M10" s="129"/>
      <c r="N10" s="129"/>
      <c r="O10" s="129"/>
    </row>
    <row r="11" spans="1:15" s="22" customFormat="1" x14ac:dyDescent="0.35">
      <c r="A11" s="570" t="s">
        <v>870</v>
      </c>
      <c r="B11" s="571"/>
      <c r="C11" s="571"/>
      <c r="D11" s="571"/>
      <c r="E11" s="571"/>
      <c r="F11" s="572"/>
      <c r="I11" s="128"/>
      <c r="J11" s="128"/>
      <c r="K11" s="128"/>
      <c r="L11" s="128"/>
      <c r="M11" s="128"/>
      <c r="N11" s="128"/>
      <c r="O11" s="128"/>
    </row>
    <row r="12" spans="1:15" s="22" customFormat="1" x14ac:dyDescent="0.35">
      <c r="A12" s="155">
        <v>1</v>
      </c>
      <c r="B12" s="473" t="s">
        <v>871</v>
      </c>
      <c r="C12" s="475"/>
      <c r="D12" s="157">
        <f>'As-Filed Schedule 5'!D12</f>
        <v>27060379</v>
      </c>
      <c r="E12" s="387">
        <f>SUMIFS(Adjustments!$G:$G,Adjustments!$H:$H,"5",Adjustments!$I:$I,'Schedule 5 Adjustments'!$D$8,Adjustments!$J:$J,A12)</f>
        <v>0</v>
      </c>
      <c r="F12" s="274">
        <f>SUM(D12:E12)</f>
        <v>27060379</v>
      </c>
      <c r="I12" s="140"/>
    </row>
    <row r="13" spans="1:15" s="22" customFormat="1" x14ac:dyDescent="0.35">
      <c r="A13" s="155">
        <v>2</v>
      </c>
      <c r="B13" s="473" t="s">
        <v>872</v>
      </c>
      <c r="C13" s="475"/>
      <c r="D13" s="157">
        <f>'As-Filed Schedule 5'!D13</f>
        <v>114759</v>
      </c>
      <c r="E13" s="387">
        <f>SUMIFS(Adjustments!$G:$G,Adjustments!$H:$H,"5",Adjustments!$I:$I,'Schedule 5 Adjustments'!$D$8,Adjustments!$J:$J,A13)</f>
        <v>0</v>
      </c>
      <c r="F13" s="274">
        <f t="shared" ref="F13:F18" si="0">SUM(D13:E13)</f>
        <v>114759</v>
      </c>
      <c r="I13" s="140"/>
    </row>
    <row r="14" spans="1:15" s="22" customFormat="1" x14ac:dyDescent="0.35">
      <c r="A14" s="155">
        <v>3</v>
      </c>
      <c r="B14" s="173" t="s">
        <v>873</v>
      </c>
      <c r="C14" s="168"/>
      <c r="D14" s="157">
        <f>'As-Filed Schedule 5'!D14</f>
        <v>642972</v>
      </c>
      <c r="E14" s="387">
        <f>SUMIFS(Adjustments!$G:$G,Adjustments!$H:$H,"5",Adjustments!$I:$I,'Schedule 5 Adjustments'!$D$8,Adjustments!$J:$J,A14)</f>
        <v>0</v>
      </c>
      <c r="F14" s="274">
        <f t="shared" si="0"/>
        <v>642972</v>
      </c>
      <c r="I14" s="140"/>
    </row>
    <row r="15" spans="1:15" s="22" customFormat="1" x14ac:dyDescent="0.35">
      <c r="A15" s="155">
        <v>4</v>
      </c>
      <c r="B15" s="173" t="s">
        <v>874</v>
      </c>
      <c r="C15" s="168"/>
      <c r="D15" s="157">
        <f>'As-Filed Schedule 5'!D15</f>
        <v>862929</v>
      </c>
      <c r="E15" s="387">
        <f>SUMIFS(Adjustments!$G:$G,Adjustments!$H:$H,"5",Adjustments!$I:$I,'Schedule 5 Adjustments'!$D$8,Adjustments!$J:$J,A15)</f>
        <v>0</v>
      </c>
      <c r="F15" s="274">
        <f t="shared" si="0"/>
        <v>862929</v>
      </c>
      <c r="I15" s="140"/>
    </row>
    <row r="16" spans="1:15" s="22" customFormat="1" x14ac:dyDescent="0.35">
      <c r="A16" s="155">
        <v>5</v>
      </c>
      <c r="B16" s="173" t="s">
        <v>875</v>
      </c>
      <c r="C16" s="168"/>
      <c r="D16" s="157">
        <f>'As-Filed Schedule 5'!D16</f>
        <v>161632</v>
      </c>
      <c r="E16" s="387">
        <f>SUMIFS(Adjustments!$G:$G,Adjustments!$H:$H,"5",Adjustments!$I:$I,'Schedule 5 Adjustments'!$D$8,Adjustments!$J:$J,A16)</f>
        <v>0</v>
      </c>
      <c r="F16" s="274">
        <f t="shared" si="0"/>
        <v>161632</v>
      </c>
      <c r="I16" s="140"/>
    </row>
    <row r="17" spans="1:9" s="22" customFormat="1" x14ac:dyDescent="0.35">
      <c r="A17" s="155">
        <v>6</v>
      </c>
      <c r="B17" s="173" t="s">
        <v>876</v>
      </c>
      <c r="C17" s="168"/>
      <c r="D17" s="157">
        <f>'As-Filed Schedule 5'!D17</f>
        <v>248058.26</v>
      </c>
      <c r="E17" s="387">
        <f>SUMIFS(Adjustments!$G:$G,Adjustments!$H:$H,"5",Adjustments!$I:$I,'Schedule 5 Adjustments'!$D$8,Adjustments!$J:$J,A17)</f>
        <v>0</v>
      </c>
      <c r="F17" s="274">
        <f>SUM(D17:E17)</f>
        <v>248058.26</v>
      </c>
      <c r="I17" s="140"/>
    </row>
    <row r="18" spans="1:9" s="22" customFormat="1" x14ac:dyDescent="0.35">
      <c r="A18" s="155">
        <v>7</v>
      </c>
      <c r="B18" s="473" t="s">
        <v>877</v>
      </c>
      <c r="C18" s="475"/>
      <c r="D18" s="157">
        <f>'As-Filed Schedule 5'!D18</f>
        <v>0</v>
      </c>
      <c r="E18" s="387">
        <f>SUMIFS(Adjustments!$G:$G,Adjustments!$H:$H,"5",Adjustments!$I:$I,'Schedule 5 Adjustments'!$D$8,Adjustments!$J:$J,A18)</f>
        <v>0</v>
      </c>
      <c r="F18" s="274">
        <f t="shared" si="0"/>
        <v>0</v>
      </c>
      <c r="I18" s="140"/>
    </row>
    <row r="19" spans="1:9" s="22" customFormat="1" x14ac:dyDescent="0.35">
      <c r="A19" s="155">
        <v>8</v>
      </c>
      <c r="B19" s="479" t="s">
        <v>878</v>
      </c>
      <c r="C19" s="481"/>
      <c r="D19" s="160">
        <f>SUM(D12:D18)</f>
        <v>29090729.260000002</v>
      </c>
      <c r="E19" s="266">
        <f t="shared" ref="E19:F19" si="1">SUM(E12:E18)</f>
        <v>0</v>
      </c>
      <c r="F19" s="275">
        <f t="shared" si="1"/>
        <v>29090729.260000002</v>
      </c>
      <c r="I19" s="140"/>
    </row>
    <row r="20" spans="1:9" s="22" customFormat="1" x14ac:dyDescent="0.35">
      <c r="A20" s="436"/>
      <c r="B20" s="437"/>
      <c r="C20" s="437"/>
      <c r="D20" s="438"/>
      <c r="E20" s="440"/>
      <c r="F20" s="444"/>
      <c r="I20" s="140"/>
    </row>
    <row r="21" spans="1:9" s="22" customFormat="1" x14ac:dyDescent="0.35">
      <c r="A21" s="570" t="s">
        <v>879</v>
      </c>
      <c r="B21" s="571"/>
      <c r="C21" s="571"/>
      <c r="D21" s="571"/>
      <c r="E21" s="571"/>
      <c r="F21" s="572"/>
      <c r="G21" s="140"/>
      <c r="H21" s="140"/>
      <c r="I21" s="140"/>
    </row>
    <row r="22" spans="1:9" s="22" customFormat="1" x14ac:dyDescent="0.35">
      <c r="A22" s="155">
        <v>9</v>
      </c>
      <c r="B22" s="473" t="s">
        <v>880</v>
      </c>
      <c r="C22" s="475"/>
      <c r="D22" s="157">
        <f>'As-Filed Schedule 5'!D22</f>
        <v>1630604.34</v>
      </c>
      <c r="E22" s="387">
        <f>SUMIFS(Adjustments!$G:$G,Adjustments!$H:$H,"5",Adjustments!$I:$I,'Schedule 5 Adjustments'!$D$8,Adjustments!$J:$J,A22)</f>
        <v>0</v>
      </c>
      <c r="F22" s="274">
        <f>SUM(D22:E22)</f>
        <v>1630604.34</v>
      </c>
      <c r="G22" s="140"/>
      <c r="H22" s="140"/>
      <c r="I22" s="140"/>
    </row>
    <row r="23" spans="1:9" s="22" customFormat="1" x14ac:dyDescent="0.35">
      <c r="A23" s="155">
        <v>10</v>
      </c>
      <c r="B23" s="173" t="s">
        <v>881</v>
      </c>
      <c r="C23" s="168"/>
      <c r="D23" s="157">
        <f>'As-Filed Schedule 5'!D23</f>
        <v>4437722.24</v>
      </c>
      <c r="E23" s="387">
        <f>SUMIFS(Adjustments!$G:$G,Adjustments!$H:$H,"5",Adjustments!$I:$I,'Schedule 5 Adjustments'!$D$8,Adjustments!$J:$J,A23)</f>
        <v>0</v>
      </c>
      <c r="F23" s="274">
        <f t="shared" ref="F23:F26" si="2">SUM(D23:E23)</f>
        <v>4437722.24</v>
      </c>
      <c r="G23" s="140"/>
      <c r="H23" s="140"/>
      <c r="I23" s="140"/>
    </row>
    <row r="24" spans="1:9" s="22" customFormat="1" x14ac:dyDescent="0.35">
      <c r="A24" s="155">
        <v>11</v>
      </c>
      <c r="B24" s="173" t="s">
        <v>882</v>
      </c>
      <c r="C24" s="168"/>
      <c r="D24" s="157">
        <f>'As-Filed Schedule 5'!D24</f>
        <v>2114747.7400000002</v>
      </c>
      <c r="E24" s="387">
        <f>SUMIFS(Adjustments!$G:$G,Adjustments!$H:$H,"5",Adjustments!$I:$I,'Schedule 5 Adjustments'!$D$8,Adjustments!$J:$J,A24)</f>
        <v>0</v>
      </c>
      <c r="F24" s="274">
        <f t="shared" si="2"/>
        <v>2114747.7400000002</v>
      </c>
      <c r="G24" s="140"/>
      <c r="H24" s="140"/>
      <c r="I24" s="140"/>
    </row>
    <row r="25" spans="1:9" s="22" customFormat="1" x14ac:dyDescent="0.35">
      <c r="A25" s="155">
        <v>12</v>
      </c>
      <c r="B25" s="173" t="s">
        <v>883</v>
      </c>
      <c r="C25" s="168"/>
      <c r="D25" s="157">
        <f>'As-Filed Schedule 5'!D25</f>
        <v>4021</v>
      </c>
      <c r="E25" s="387">
        <f>SUMIFS(Adjustments!$G:$G,Adjustments!$H:$H,"5",Adjustments!$I:$I,'Schedule 5 Adjustments'!$D$8,Adjustments!$J:$J,A25)</f>
        <v>0</v>
      </c>
      <c r="F25" s="274">
        <f t="shared" si="2"/>
        <v>4021</v>
      </c>
      <c r="G25" s="140"/>
      <c r="H25" s="140"/>
      <c r="I25" s="140"/>
    </row>
    <row r="26" spans="1:9" s="22" customFormat="1" x14ac:dyDescent="0.35">
      <c r="A26" s="155">
        <v>13</v>
      </c>
      <c r="B26" s="173" t="s">
        <v>884</v>
      </c>
      <c r="C26" s="168"/>
      <c r="D26" s="157">
        <f>'As-Filed Schedule 5'!D26</f>
        <v>38487.270000000004</v>
      </c>
      <c r="E26" s="387">
        <f>SUMIFS(Adjustments!$G:$G,Adjustments!$H:$H,"5",Adjustments!$I:$I,'Schedule 5 Adjustments'!$D$8,Adjustments!$J:$J,A26)</f>
        <v>0</v>
      </c>
      <c r="F26" s="274">
        <f t="shared" si="2"/>
        <v>38487.270000000004</v>
      </c>
      <c r="G26" s="140"/>
      <c r="H26" s="140"/>
      <c r="I26" s="140"/>
    </row>
    <row r="27" spans="1:9" s="22" customFormat="1" x14ac:dyDescent="0.35">
      <c r="A27" s="155">
        <v>14</v>
      </c>
      <c r="B27" s="479" t="s">
        <v>885</v>
      </c>
      <c r="C27" s="481"/>
      <c r="D27" s="160">
        <f>SUM(D22:D26)</f>
        <v>8225582.5899999999</v>
      </c>
      <c r="E27" s="266">
        <f>SUM(E22:E26)</f>
        <v>0</v>
      </c>
      <c r="F27" s="275">
        <f t="shared" ref="F27" si="3">SUM(F22:F26)</f>
        <v>8225582.5899999999</v>
      </c>
      <c r="G27" s="140"/>
      <c r="H27" s="140"/>
      <c r="I27" s="140"/>
    </row>
    <row r="28" spans="1:9" s="22" customFormat="1" x14ac:dyDescent="0.35">
      <c r="A28" s="436"/>
      <c r="B28" s="437"/>
      <c r="C28" s="437"/>
      <c r="D28" s="438"/>
      <c r="E28" s="440"/>
      <c r="F28" s="444"/>
      <c r="H28" s="140"/>
      <c r="I28" s="140"/>
    </row>
    <row r="29" spans="1:9" s="22" customFormat="1" x14ac:dyDescent="0.35">
      <c r="A29" s="570" t="s">
        <v>886</v>
      </c>
      <c r="B29" s="571"/>
      <c r="C29" s="571"/>
      <c r="D29" s="571"/>
      <c r="E29" s="571"/>
      <c r="F29" s="572"/>
      <c r="H29" s="140"/>
      <c r="I29" s="140"/>
    </row>
    <row r="30" spans="1:9" s="22" customFormat="1" x14ac:dyDescent="0.35">
      <c r="A30" s="439">
        <v>15</v>
      </c>
      <c r="B30" s="573" t="s">
        <v>887</v>
      </c>
      <c r="C30" s="575"/>
      <c r="D30" s="157">
        <f>'As-Filed Schedule 5'!D30</f>
        <v>0</v>
      </c>
      <c r="E30" s="387">
        <f>SUMIFS(Adjustments!$G:$G,Adjustments!$H:$H,"5",Adjustments!$I:$I,'Schedule 5 Adjustments'!$D$8,Adjustments!$J:$J,A30)</f>
        <v>0</v>
      </c>
      <c r="F30" s="274">
        <f t="shared" ref="F30:F34" si="4">SUM(D30:E30)</f>
        <v>0</v>
      </c>
      <c r="I30" s="140"/>
    </row>
    <row r="31" spans="1:9" s="22" customFormat="1" x14ac:dyDescent="0.35">
      <c r="A31" s="155">
        <v>16</v>
      </c>
      <c r="B31" s="173" t="s">
        <v>888</v>
      </c>
      <c r="C31" s="168"/>
      <c r="D31" s="157">
        <f>'As-Filed Schedule 5'!D31</f>
        <v>0</v>
      </c>
      <c r="E31" s="387">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326772</v>
      </c>
      <c r="E32" s="387">
        <f>SUMIFS(Adjustments!$G:$G,Adjustments!$H:$H,"5",Adjustments!$I:$I,'Schedule 5 Adjustments'!$D$8,Adjustments!$J:$J,A32)</f>
        <v>0</v>
      </c>
      <c r="F32" s="274">
        <f t="shared" si="4"/>
        <v>326772</v>
      </c>
      <c r="I32" s="140"/>
    </row>
    <row r="33" spans="1:9" s="22" customFormat="1" x14ac:dyDescent="0.35">
      <c r="A33" s="155">
        <v>18</v>
      </c>
      <c r="B33" s="173" t="s">
        <v>890</v>
      </c>
      <c r="C33" s="168"/>
      <c r="D33" s="157">
        <f>'As-Filed Schedule 5'!D33</f>
        <v>0</v>
      </c>
      <c r="E33" s="387">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10100</v>
      </c>
      <c r="E34" s="387">
        <f>SUMIFS(Adjustments!$G:$G,Adjustments!$H:$H,"5",Adjustments!$I:$I,'Schedule 5 Adjustments'!$D$8,Adjustments!$J:$J,A34)</f>
        <v>0</v>
      </c>
      <c r="F34" s="274">
        <f t="shared" si="4"/>
        <v>10100</v>
      </c>
      <c r="I34" s="140"/>
    </row>
    <row r="35" spans="1:9" s="22" customFormat="1" x14ac:dyDescent="0.35">
      <c r="A35" s="155">
        <v>20</v>
      </c>
      <c r="B35" s="479" t="s">
        <v>892</v>
      </c>
      <c r="C35" s="481"/>
      <c r="D35" s="160">
        <f>SUM(D30:D34)</f>
        <v>336872</v>
      </c>
      <c r="E35" s="266">
        <f t="shared" ref="E35:F35" si="5">SUM(E30:E34)</f>
        <v>0</v>
      </c>
      <c r="F35" s="275">
        <f t="shared" si="5"/>
        <v>336872</v>
      </c>
      <c r="I35" s="140"/>
    </row>
    <row r="36" spans="1:9" s="22" customFormat="1" x14ac:dyDescent="0.35">
      <c r="A36" s="436"/>
      <c r="B36" s="437"/>
      <c r="C36" s="437"/>
      <c r="D36" s="438"/>
      <c r="E36" s="440"/>
      <c r="F36" s="444"/>
      <c r="I36" s="140"/>
    </row>
    <row r="37" spans="1:9" s="22" customFormat="1" x14ac:dyDescent="0.35">
      <c r="A37" s="570" t="s">
        <v>893</v>
      </c>
      <c r="B37" s="571"/>
      <c r="C37" s="571"/>
      <c r="D37" s="571"/>
      <c r="E37" s="571"/>
      <c r="F37" s="572"/>
      <c r="I37" s="140"/>
    </row>
    <row r="38" spans="1:9" s="22" customFormat="1" x14ac:dyDescent="0.35">
      <c r="A38" s="439">
        <v>21</v>
      </c>
      <c r="B38" s="573" t="s">
        <v>304</v>
      </c>
      <c r="C38" s="574"/>
      <c r="D38" s="157">
        <f>'As-Filed Schedule 5'!D38</f>
        <v>2040</v>
      </c>
      <c r="E38" s="387">
        <f>SUMIFS(Adjustments!$G:$G,Adjustments!$H:$H,"5",Adjustments!$I:$I,'Schedule 5 Adjustments'!$D$8,Adjustments!$J:$J,A38)</f>
        <v>0</v>
      </c>
      <c r="F38" s="274">
        <f t="shared" ref="F38" si="6">SUM(D38:E38)</f>
        <v>2040</v>
      </c>
      <c r="I38" s="140"/>
    </row>
    <row r="39" spans="1:9" s="22" customFormat="1" x14ac:dyDescent="0.35">
      <c r="A39" s="155">
        <v>22</v>
      </c>
      <c r="B39" s="473" t="s">
        <v>894</v>
      </c>
      <c r="C39" s="474"/>
      <c r="D39" s="157">
        <f>'As-Filed Schedule 5'!D39</f>
        <v>0</v>
      </c>
      <c r="E39" s="387">
        <f>SUMIFS(Adjustments!$G:$G,Adjustments!$H:$H,"5",Adjustments!$I:$I,'Schedule 5 Adjustments'!$D$8,Adjustments!$J:$J,A39)</f>
        <v>0</v>
      </c>
      <c r="F39" s="274">
        <f>SUM(D39:E39)</f>
        <v>0</v>
      </c>
      <c r="I39" s="140"/>
    </row>
    <row r="40" spans="1:9" s="22" customFormat="1" x14ac:dyDescent="0.35">
      <c r="A40" s="155">
        <v>23</v>
      </c>
      <c r="B40" s="473" t="s">
        <v>895</v>
      </c>
      <c r="C40" s="474"/>
      <c r="D40" s="157">
        <f>'As-Filed Schedule 5'!D40</f>
        <v>85352</v>
      </c>
      <c r="E40" s="387">
        <f>SUMIFS(Adjustments!$G:$G,Adjustments!$H:$H,"5",Adjustments!$I:$I,'Schedule 5 Adjustments'!$D$8,Adjustments!$J:$J,A40)</f>
        <v>0</v>
      </c>
      <c r="F40" s="274">
        <f>SUM(D40:E40)</f>
        <v>85352</v>
      </c>
      <c r="I40" s="140"/>
    </row>
    <row r="41" spans="1:9" s="22" customFormat="1" x14ac:dyDescent="0.35">
      <c r="A41" s="155">
        <v>24</v>
      </c>
      <c r="B41" s="479" t="s">
        <v>896</v>
      </c>
      <c r="C41" s="480"/>
      <c r="D41" s="160">
        <f>SUM(D38:D40)</f>
        <v>87392</v>
      </c>
      <c r="E41" s="266">
        <f t="shared" ref="E41:F41" si="7">SUM(E38:E40)</f>
        <v>0</v>
      </c>
      <c r="F41" s="275">
        <f t="shared" si="7"/>
        <v>87392</v>
      </c>
      <c r="I41" s="140"/>
    </row>
    <row r="42" spans="1:9" s="22" customFormat="1" x14ac:dyDescent="0.35">
      <c r="A42" s="161"/>
      <c r="B42" s="162"/>
      <c r="C42" s="162"/>
      <c r="D42" s="164"/>
      <c r="E42" s="440"/>
      <c r="F42" s="444"/>
      <c r="I42" s="140"/>
    </row>
    <row r="43" spans="1:9" s="63" customFormat="1" ht="15.5" x14ac:dyDescent="0.35">
      <c r="A43" s="155">
        <v>25</v>
      </c>
      <c r="B43" s="476" t="s">
        <v>897</v>
      </c>
      <c r="C43" s="478"/>
      <c r="D43" s="169">
        <f>SUM(D19,D27,D35,D41)</f>
        <v>37740575.850000001</v>
      </c>
      <c r="E43" s="441">
        <f t="shared" ref="E43" si="8">SUM(E19,E27,E35,E41)</f>
        <v>0</v>
      </c>
      <c r="F43" s="445">
        <f>SUM(F19,F27,F35,F41)</f>
        <v>37740575.850000001</v>
      </c>
      <c r="I43" s="141"/>
    </row>
    <row r="44" spans="1:9" s="22" customFormat="1" x14ac:dyDescent="0.35">
      <c r="A44" s="170"/>
      <c r="B44" s="170"/>
      <c r="C44" s="170"/>
      <c r="D44" s="170"/>
      <c r="E44" s="265"/>
      <c r="F44" s="140"/>
      <c r="I44" s="140"/>
    </row>
    <row r="45" spans="1:9" s="22" customFormat="1" x14ac:dyDescent="0.35">
      <c r="A45" s="155">
        <v>26</v>
      </c>
      <c r="B45" s="472" t="s">
        <v>898</v>
      </c>
      <c r="C45" s="472"/>
      <c r="D45" s="157">
        <f>'As-Filed Schedule 5'!D45</f>
        <v>37740576</v>
      </c>
      <c r="E45" s="442"/>
      <c r="F45" s="274">
        <f>'As-Filed Schedule 5'!D45</f>
        <v>37740576</v>
      </c>
      <c r="I45" s="140"/>
    </row>
    <row r="46" spans="1:9" s="22" customFormat="1" ht="15.5" x14ac:dyDescent="0.35">
      <c r="A46" s="155">
        <v>27</v>
      </c>
      <c r="B46" s="472" t="s">
        <v>10</v>
      </c>
      <c r="C46" s="472"/>
      <c r="D46" s="169">
        <f>D43-D45</f>
        <v>-0.14999999850988388</v>
      </c>
      <c r="E46" s="443"/>
      <c r="F46" s="445">
        <f>F43-F45</f>
        <v>-0.14999999850988388</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2025-03-11T19:27:06Z</cp:lastPrinted>
  <dcterms:created xsi:type="dcterms:W3CDTF">2022-01-27T23:29:48Z</dcterms:created>
  <dcterms:modified xsi:type="dcterms:W3CDTF">2025-03-17T17:44:54Z</dcterms:modified>
</cp:coreProperties>
</file>