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defaultThemeVersion="166925"/>
  <mc:AlternateContent xmlns:mc="http://schemas.openxmlformats.org/markup-compatibility/2006">
    <mc:Choice Requires="x15">
      <x15ac:absPath xmlns:x15ac="http://schemas.microsoft.com/office/spreadsheetml/2010/11/ac" url="https://cohcpf-my.sharepoint.com/personal/vlmart_hcpf_co_gov/Documents/HCBS/Annual Rate Updates and Fee Schedules/PETI/FY 24-25/"/>
    </mc:Choice>
  </mc:AlternateContent>
  <xr:revisionPtr revIDLastSave="348" documentId="13_ncr:1_{29F5AAC4-7484-41F7-AFD0-E66D1DFE33EC}" xr6:coauthVersionLast="47" xr6:coauthVersionMax="47" xr10:uidLastSave="{EFB77B74-8D8D-4A31-A0B1-1BFA76140C39}"/>
  <bookViews>
    <workbookView xWindow="-110" yWindow="-110" windowWidth="19420" windowHeight="11500" xr2:uid="{76C71A13-D11F-4443-A930-B5450E9287BA}"/>
  </bookViews>
  <sheets>
    <sheet name="PETI Non-Denver" sheetId="1" r:id="rId1"/>
    <sheet name="ACF PETI Key Non Denver" sheetId="7" r:id="rId2"/>
  </sheets>
  <definedNames>
    <definedName name="ClientACFServicePayment" localSheetId="0">'PETI Non-Denver'!$G$18</definedName>
    <definedName name="ClientACFServicePayment">#REF!</definedName>
    <definedName name="ClientLTInsurance">'PETI Non-Denver'!$G$9</definedName>
    <definedName name="ClientPNA">'PETI Non-Denver'!$G$11</definedName>
    <definedName name="GrossIncome">'PETI Non-Denver'!$G$8</definedName>
    <definedName name="NoncoveredMedicalAllowance">'PETI Non-Denver'!$G$14</definedName>
    <definedName name="OtherFamilymemberAllowance">'PETI Non-Denver'!$G$13</definedName>
    <definedName name="PNAMax">'PETI Non-Denver'!$G$12</definedName>
    <definedName name="ProvRate">#REF!</definedName>
    <definedName name="RoomBoard">'PETI Non-Denver'!$G$19</definedName>
    <definedName name="ServiceAmount" localSheetId="0">'PETI Non-Denver'!$G$26</definedName>
    <definedName name="ServiceAmount">#REF!</definedName>
    <definedName name="TaxAllowance">'PETI Non-Denver'!$G$15</definedName>
    <definedName name="TotalGrossIncome">'PETI Non-Denver'!$G$10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6" i="7" l="1"/>
  <c r="H50" i="7"/>
  <c r="G50" i="7"/>
  <c r="G19" i="1"/>
  <c r="F6" i="1"/>
  <c r="G26" i="1"/>
  <c r="E43" i="7"/>
  <c r="G42" i="7"/>
  <c r="G40" i="7"/>
  <c r="E39" i="7"/>
  <c r="E40" i="7" s="1"/>
  <c r="C33" i="7"/>
  <c r="D33" i="7" s="1"/>
  <c r="E33" i="7" s="1"/>
  <c r="B41" i="7"/>
  <c r="C41" i="7" s="1"/>
  <c r="C31" i="7"/>
  <c r="D31" i="7" s="1"/>
  <c r="E31" i="7" s="1"/>
  <c r="F31" i="7" s="1"/>
  <c r="A30" i="7"/>
  <c r="C39" i="7"/>
  <c r="C40" i="7" s="1"/>
  <c r="I29" i="7"/>
  <c r="I30" i="7" s="1"/>
  <c r="B29" i="7"/>
  <c r="B30" i="7" s="1"/>
  <c r="I27" i="7"/>
  <c r="E27" i="7"/>
  <c r="E52" i="7"/>
  <c r="J42" i="7"/>
  <c r="I42" i="7"/>
  <c r="B6" i="7"/>
  <c r="E50" i="7"/>
  <c r="I40" i="7"/>
  <c r="H40" i="7"/>
  <c r="C46" i="7"/>
  <c r="C29" i="7" l="1"/>
  <c r="D29" i="7" s="1"/>
  <c r="E29" i="7" s="1"/>
  <c r="E30" i="7" s="1"/>
  <c r="F33" i="7"/>
  <c r="I33" i="7"/>
  <c r="C30" i="7" l="1"/>
  <c r="F29" i="7"/>
  <c r="F30" i="7" s="1"/>
  <c r="D30" i="7"/>
  <c r="G10" i="1"/>
  <c r="G11" i="1" l="1"/>
  <c r="G16" i="1" s="1"/>
  <c r="G18" i="1" l="1"/>
  <c r="G27" i="1" s="1"/>
  <c r="G28" i="1" s="1"/>
  <c r="G30" i="1" s="1"/>
  <c r="C39" i="1" s="1"/>
  <c r="G22" i="1"/>
  <c r="G23" i="1" l="1"/>
  <c r="G24" i="1" s="1"/>
  <c r="G20" i="1"/>
  <c r="C38" i="1" s="1"/>
</calcChain>
</file>

<file path=xl/sharedStrings.xml><?xml version="1.0" encoding="utf-8"?>
<sst xmlns="http://schemas.openxmlformats.org/spreadsheetml/2006/main" count="112" uniqueCount="85">
  <si>
    <t>Member Name:</t>
  </si>
  <si>
    <t>County:</t>
  </si>
  <si>
    <t>Member ID:</t>
  </si>
  <si>
    <t>Case Manager:</t>
  </si>
  <si>
    <t>ACF Provider:</t>
  </si>
  <si>
    <t>CM Phone #:</t>
  </si>
  <si>
    <t>Start Date:</t>
  </si>
  <si>
    <t>End Date:</t>
  </si>
  <si>
    <t>Total Days:</t>
  </si>
  <si>
    <r>
      <t>Member's Gross Monthly Income (from all sources)</t>
    </r>
    <r>
      <rPr>
        <sz val="10"/>
        <rFont val="Times New Roman"/>
        <family val="1"/>
      </rPr>
      <t xml:space="preserve">
</t>
    </r>
    <r>
      <rPr>
        <sz val="8"/>
        <rFont val="Times New Roman"/>
        <family val="1"/>
      </rPr>
      <t>This includes, but is not limited to:  Social Security, Railroad Retirement Benefits, Veterans Assistance, Private Pension/Retirement Benefits, or other.</t>
    </r>
  </si>
  <si>
    <t>Step 1</t>
  </si>
  <si>
    <t xml:space="preserve">Member's Gross Monthly Long Term Care Insurance Amount </t>
  </si>
  <si>
    <t>Step 2</t>
  </si>
  <si>
    <t>Total Member's Gross Monthly Income</t>
  </si>
  <si>
    <t>Personal Needs Allowance</t>
  </si>
  <si>
    <t xml:space="preserve"> Member's Personal Needs Allowance Maximum</t>
  </si>
  <si>
    <r>
      <t>Maintenance Allowance for Other Family Member</t>
    </r>
    <r>
      <rPr>
        <b/>
        <vertAlign val="superscript"/>
        <sz val="10"/>
        <rFont val="Times New Roman"/>
        <family val="1"/>
      </rPr>
      <t>2</t>
    </r>
    <r>
      <rPr>
        <b/>
        <sz val="10"/>
        <rFont val="Times New Roman"/>
        <family val="1"/>
      </rPr>
      <t xml:space="preserve">
</t>
    </r>
    <r>
      <rPr>
        <sz val="8"/>
        <rFont val="Times New Roman"/>
        <family val="1"/>
      </rPr>
      <t>(See Section 8.486.61 B.2. and B.3.)</t>
    </r>
  </si>
  <si>
    <t>Step 3</t>
  </si>
  <si>
    <r>
      <t xml:space="preserve">Allowances for Member's Non-covered Medical Needs
</t>
    </r>
    <r>
      <rPr>
        <sz val="8"/>
        <rFont val="Times New Roman"/>
        <family val="1"/>
      </rPr>
      <t>(See Section 8.486.61(4))  This includes, but is not limited to:  Health Insurance Premiums, Non-covered Medical Bills, Non-covered Prescription Drugs, Non-covered Medical Supplies and Equipment, Eye, Ear &amp; Dental, and other Medical or Remedial Care  (Please specify the non-covered needs and their amount, if you need more room, please attach on another sheet)</t>
    </r>
  </si>
  <si>
    <t>Step 4</t>
  </si>
  <si>
    <t>Tax Allowance</t>
  </si>
  <si>
    <t>Step 5</t>
  </si>
  <si>
    <t>Total Allowances including Personal Needs Allowance</t>
  </si>
  <si>
    <t>Member Payment Amount</t>
  </si>
  <si>
    <t xml:space="preserve">    Member Obligation for Service Payment to ACF</t>
  </si>
  <si>
    <r>
      <t xml:space="preserve">    Standard Room and Board Rate</t>
    </r>
    <r>
      <rPr>
        <vertAlign val="superscript"/>
        <sz val="10"/>
        <rFont val="Times New Roman"/>
        <family val="1"/>
      </rPr>
      <t>3</t>
    </r>
  </si>
  <si>
    <t>Total Member Payment to ACF</t>
  </si>
  <si>
    <t>Member's Income</t>
  </si>
  <si>
    <t xml:space="preserve">    Income Available to Member to pay to ACF</t>
  </si>
  <si>
    <t>Overage Income</t>
  </si>
  <si>
    <t>Total Income available to the member including Personal Needs Allowance</t>
  </si>
  <si>
    <t>Monthly Payment to ACF</t>
  </si>
  <si>
    <t xml:space="preserve">     Monthly Payment to ACF</t>
  </si>
  <si>
    <t xml:space="preserve">     Member's Payment for Services to ACF</t>
  </si>
  <si>
    <r>
      <t xml:space="preserve">  Monthly amount billable by fiscal agent for remaining Services</t>
    </r>
    <r>
      <rPr>
        <sz val="8"/>
        <rFont val="Times New Roman"/>
        <family val="1"/>
      </rPr>
      <t xml:space="preserve">
  (Service amount minus the member's payment for Services)</t>
    </r>
  </si>
  <si>
    <t>Daily Medicaid payment for services</t>
  </si>
  <si>
    <t>Member Consent and Understanding</t>
  </si>
  <si>
    <t>I have reviewed the information included on this page and understand that the payments indicated here are</t>
  </si>
  <si>
    <t>due beginning (enter date)</t>
  </si>
  <si>
    <t>and the 1st of each following month I receive services.</t>
  </si>
  <si>
    <t xml:space="preserve">I agree to report immediately to my case manager changes of $50 or more in income, expenses, or </t>
  </si>
  <si>
    <t>household makeup which affect my payment amount.</t>
  </si>
  <si>
    <t>Member's/Guardian's Signature &amp; Date</t>
  </si>
  <si>
    <t>Case Manager's Signature &amp; Date</t>
  </si>
  <si>
    <t>Resident Payment</t>
  </si>
  <si>
    <t>a month</t>
  </si>
  <si>
    <t>Provider Reimbursement</t>
  </si>
  <si>
    <t>a day</t>
  </si>
  <si>
    <t xml:space="preserve">C.C.R 8.486.10 "HCBS-EBD Case Management Funtions"; C.C.R 8.509.30 "HCBS-CMHS Case Management Funtions";C.C.R. 8.486.60 "Calculation of Client Payment (PETI)" </t>
  </si>
  <si>
    <t>See Special Instructions for Spousal Protection Clients</t>
  </si>
  <si>
    <t>COLA Increase 1/1/2024</t>
  </si>
  <si>
    <t>Rate Increase</t>
  </si>
  <si>
    <t>ACF RATE</t>
  </si>
  <si>
    <t>COLA</t>
  </si>
  <si>
    <t>SSI</t>
  </si>
  <si>
    <t>300% Maximum (I)</t>
  </si>
  <si>
    <t>Room and Board</t>
  </si>
  <si>
    <t>Current values. The historic numbers are below</t>
  </si>
  <si>
    <t>NOTES</t>
  </si>
  <si>
    <t>Amount equal to the Old Age Pension amount ($832.00) plus the unearned income disregard ($20.00).  Old Age Pension amount set by Deparment of Human Services.  The unearned income disregard is set by the Social Security Administration. 01/01/2021</t>
  </si>
  <si>
    <t>For a client with a spouse only an amount equal to the Aid to the Needy and Disabled Standard minus the spouses income.  For a client with a spouse and/or dependents an amount equal to TANF minus the spouses income.</t>
  </si>
  <si>
    <t>Room and Board can rise dollar for dollar with social security increases if the Old Age Pension amount also increases. The Old Age Pension amount was increased in January 2021 but Room and Board did not increase. C.C.R 8.495.7.A</t>
  </si>
  <si>
    <t>Historical ACF PETI Information</t>
  </si>
  <si>
    <t>FY2011-12</t>
  </si>
  <si>
    <t>Interim Increases</t>
  </si>
  <si>
    <t>FY2012-13</t>
  </si>
  <si>
    <t>FY2013-14</t>
  </si>
  <si>
    <t>FY2014-15</t>
  </si>
  <si>
    <t>FY2015-16</t>
  </si>
  <si>
    <t>FY2016-17</t>
  </si>
  <si>
    <t>FY2017-18</t>
  </si>
  <si>
    <t>FY 2018-19</t>
  </si>
  <si>
    <t>FY 2019-20</t>
  </si>
  <si>
    <t>COVID-19 Increase</t>
  </si>
  <si>
    <t>FY2020-21</t>
  </si>
  <si>
    <t>April 2021-June 2021</t>
  </si>
  <si>
    <t>FY2021-22</t>
  </si>
  <si>
    <t>OAP Increase</t>
  </si>
  <si>
    <t>OAP Pension $</t>
  </si>
  <si>
    <t>COLA Increase 
1/1/2022</t>
  </si>
  <si>
    <t>Base Wage Increase 
4/1/2022</t>
  </si>
  <si>
    <t>FY2022-23</t>
  </si>
  <si>
    <t>COLA Increase 1/1/2023</t>
  </si>
  <si>
    <t>FY2023-24</t>
  </si>
  <si>
    <t>FY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</si>
</sst>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409]mmmm\ d\,\ yyyy;@"/>
    <numFmt numFmtId="166" formatCode="[$-409]d\-mmm\-yy;@"/>
    <numFmt numFmtId="167" formatCode="0.0%"/>
  </numFmts>
  <fonts count="20">
    <font>
      <sz val="11"/>
      <color theme="1"/>
      <name val="Calibri"/>
      <family val="2"/>
      <scheme val="minor"/>
    </font>
    <font>
      <sz val="11"/>
      <color theme="1"/>
      <name val="Calibri"/>
      <family val="2"/>
      <scheme val="minor"/>
    </font>
    <font>
      <b/>
      <sz val="10"/>
      <color theme="1"/>
      <name val="Times New Roman"/>
      <family val="1"/>
    </font>
    <font>
      <sz val="10"/>
      <color theme="1"/>
      <name val="Times New Roman"/>
      <family val="1"/>
    </font>
    <font>
      <b/>
      <sz val="12"/>
      <color theme="1"/>
      <name val="Times New Roman"/>
      <family val="1"/>
    </font>
    <font>
      <sz val="10"/>
      <name val="Verdana"/>
      <family val="2"/>
    </font>
    <font>
      <b/>
      <sz val="10"/>
      <name val="Times New Roman"/>
      <family val="1"/>
    </font>
    <font>
      <sz val="10"/>
      <name val="Times New Roman"/>
      <family val="1"/>
    </font>
    <font>
      <sz val="8"/>
      <name val="Times New Roman"/>
      <family val="1"/>
    </font>
    <font>
      <b/>
      <vertAlign val="superscript"/>
      <sz val="10"/>
      <name val="Times New Roman"/>
      <family val="1"/>
    </font>
    <font>
      <vertAlign val="superscript"/>
      <sz val="10"/>
      <name val="Times New Roman"/>
      <family val="1"/>
    </font>
    <font>
      <sz val="10"/>
      <color indexed="57"/>
      <name val="Times New Roman"/>
      <family val="1"/>
    </font>
    <font>
      <b/>
      <sz val="9"/>
      <name val="Times New Roman"/>
      <family val="1"/>
    </font>
    <font>
      <sz val="10.5"/>
      <name val="Times New Roman"/>
      <family val="1"/>
    </font>
    <font>
      <sz val="10.7"/>
      <name val="Times New Roman"/>
      <family val="1"/>
    </font>
    <font>
      <u/>
      <sz val="9"/>
      <color theme="1"/>
      <name val="Times New Roman"/>
      <family val="1"/>
    </font>
    <font>
      <sz val="9"/>
      <name val="Times New Roman"/>
      <family val="1"/>
    </font>
    <font>
      <sz val="11"/>
      <name val="Times New Roman"/>
      <family val="1"/>
    </font>
    <font>
      <sz val="10"/>
      <color rgb="FF000000"/>
      <name val="Times New Roman"/>
      <family val="1"/>
    </font>
    <font>
      <b/>
      <sz val="10"/>
      <color rgb="FFFF0000"/>
      <name val="Times New Roman"/>
      <family val="1"/>
    </font>
  </fonts>
  <fills count="7">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rgb="FFCCECFF"/>
        <bgColor indexed="64"/>
      </patternFill>
    </fill>
    <fill>
      <patternFill patternType="solid">
        <fgColor theme="0"/>
        <bgColor indexed="64"/>
      </patternFill>
    </fill>
    <fill>
      <patternFill patternType="solid">
        <fgColor theme="2"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style="medium">
        <color rgb="FF0070C0"/>
      </right>
      <top style="medium">
        <color rgb="FF0070C0"/>
      </top>
      <bottom style="medium">
        <color rgb="FF0070C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0" fontId="1" fillId="0" borderId="0"/>
    <xf numFmtId="44" fontId="5" fillId="0" borderId="0" applyFont="0" applyFill="0" applyBorder="0" applyAlignment="0" applyProtection="0"/>
    <xf numFmtId="9" fontId="5" fillId="0" borderId="0" applyFont="0" applyFill="0" applyBorder="0" applyAlignment="0" applyProtection="0"/>
  </cellStyleXfs>
  <cellXfs count="231">
    <xf numFmtId="0" fontId="0" fillId="0" borderId="0" xfId="0"/>
    <xf numFmtId="0" fontId="3" fillId="0" borderId="0" xfId="0" applyFont="1"/>
    <xf numFmtId="9" fontId="7" fillId="0" borderId="5" xfId="2" applyFont="1" applyFill="1" applyBorder="1" applyAlignment="1" applyProtection="1">
      <alignment horizontal="left" indent="1"/>
    </xf>
    <xf numFmtId="0" fontId="2" fillId="0" borderId="2" xfId="0" applyFont="1" applyBorder="1" applyAlignment="1">
      <alignment horizontal="right" vertical="center"/>
    </xf>
    <xf numFmtId="0" fontId="2" fillId="0" borderId="2" xfId="0" applyFont="1" applyBorder="1" applyAlignment="1">
      <alignment horizontal="right"/>
    </xf>
    <xf numFmtId="0" fontId="7" fillId="0" borderId="0" xfId="3" applyFont="1"/>
    <xf numFmtId="44" fontId="7" fillId="0" borderId="13" xfId="1" applyFont="1" applyFill="1" applyBorder="1" applyAlignment="1" applyProtection="1">
      <alignment horizontal="right"/>
    </xf>
    <xf numFmtId="0" fontId="6" fillId="0" borderId="10" xfId="3" applyFont="1" applyBorder="1" applyAlignment="1">
      <alignment horizontal="left" indent="1"/>
    </xf>
    <xf numFmtId="0" fontId="6" fillId="0" borderId="10" xfId="3" applyFont="1" applyBorder="1"/>
    <xf numFmtId="0" fontId="8" fillId="0" borderId="10" xfId="3" applyFont="1" applyBorder="1" applyAlignment="1">
      <alignment horizontal="right" vertical="top"/>
    </xf>
    <xf numFmtId="44" fontId="6" fillId="0" borderId="11" xfId="1" applyFont="1" applyFill="1" applyBorder="1" applyAlignment="1" applyProtection="1">
      <alignment horizontal="right"/>
    </xf>
    <xf numFmtId="44" fontId="7" fillId="0" borderId="13" xfId="3" applyNumberFormat="1" applyFont="1" applyBorder="1" applyAlignment="1">
      <alignment horizontal="right"/>
    </xf>
    <xf numFmtId="9" fontId="6" fillId="0" borderId="9" xfId="2" applyFont="1" applyFill="1" applyBorder="1" applyAlignment="1" applyProtection="1"/>
    <xf numFmtId="0" fontId="6" fillId="0" borderId="7" xfId="3" applyFont="1" applyBorder="1"/>
    <xf numFmtId="0" fontId="8" fillId="0" borderId="7" xfId="3" applyFont="1" applyBorder="1" applyAlignment="1">
      <alignment horizontal="right" vertical="top"/>
    </xf>
    <xf numFmtId="44" fontId="13" fillId="0" borderId="5" xfId="1" applyFont="1" applyBorder="1" applyAlignment="1" applyProtection="1"/>
    <xf numFmtId="0" fontId="7" fillId="0" borderId="13" xfId="3" applyFont="1" applyBorder="1" applyAlignment="1">
      <alignment horizontal="right" vertical="top"/>
    </xf>
    <xf numFmtId="44" fontId="14" fillId="0" borderId="5" xfId="1" applyFont="1" applyBorder="1" applyAlignment="1" applyProtection="1">
      <alignment horizontal="left"/>
    </xf>
    <xf numFmtId="0" fontId="7" fillId="0" borderId="13" xfId="3" applyFont="1" applyBorder="1" applyAlignment="1" applyProtection="1">
      <alignment horizontal="right"/>
      <protection locked="0"/>
    </xf>
    <xf numFmtId="44" fontId="13" fillId="0" borderId="5" xfId="1" applyFont="1" applyBorder="1" applyAlignment="1" applyProtection="1">
      <alignment horizontal="left"/>
    </xf>
    <xf numFmtId="0" fontId="16" fillId="0" borderId="13" xfId="3" applyFont="1" applyBorder="1" applyAlignment="1">
      <alignment horizontal="right"/>
    </xf>
    <xf numFmtId="44" fontId="7" fillId="0" borderId="5" xfId="1" applyFont="1" applyBorder="1" applyAlignment="1" applyProtection="1">
      <alignment horizontal="left"/>
    </xf>
    <xf numFmtId="44" fontId="17" fillId="0" borderId="9" xfId="1" applyFont="1" applyBorder="1" applyProtection="1"/>
    <xf numFmtId="0" fontId="7" fillId="0" borderId="10" xfId="3" applyFont="1" applyBorder="1"/>
    <xf numFmtId="44" fontId="17" fillId="0" borderId="10" xfId="1" applyFont="1" applyBorder="1" applyProtection="1"/>
    <xf numFmtId="0" fontId="6" fillId="0" borderId="0" xfId="3" applyFont="1"/>
    <xf numFmtId="0" fontId="8" fillId="0" borderId="0" xfId="3" applyFont="1" applyAlignment="1">
      <alignment horizontal="right" vertical="top"/>
    </xf>
    <xf numFmtId="44" fontId="6" fillId="0" borderId="12" xfId="1" applyFont="1" applyFill="1" applyBorder="1" applyAlignment="1" applyProtection="1">
      <alignment horizontal="right"/>
    </xf>
    <xf numFmtId="0" fontId="7" fillId="0" borderId="0" xfId="3" applyFont="1" applyAlignment="1">
      <alignment horizontal="left" indent="1"/>
    </xf>
    <xf numFmtId="0" fontId="6" fillId="0" borderId="0" xfId="3" applyFont="1" applyAlignment="1">
      <alignment horizontal="left" indent="1"/>
    </xf>
    <xf numFmtId="0" fontId="7" fillId="0" borderId="7" xfId="3" applyFont="1" applyBorder="1" applyAlignment="1">
      <alignment horizontal="left" indent="1"/>
    </xf>
    <xf numFmtId="0" fontId="7" fillId="0" borderId="7" xfId="3" applyFont="1" applyBorder="1"/>
    <xf numFmtId="0" fontId="7" fillId="0" borderId="12" xfId="3" applyFont="1" applyBorder="1" applyAlignment="1">
      <alignment horizontal="right"/>
    </xf>
    <xf numFmtId="0" fontId="11" fillId="0" borderId="0" xfId="3" applyFont="1"/>
    <xf numFmtId="0" fontId="6" fillId="0" borderId="9" xfId="3" applyFont="1" applyBorder="1"/>
    <xf numFmtId="0" fontId="7" fillId="0" borderId="0" xfId="3" applyFont="1" applyAlignment="1">
      <alignment horizontal="right" vertical="top"/>
    </xf>
    <xf numFmtId="165" fontId="7" fillId="0" borderId="0" xfId="3" applyNumberFormat="1" applyFont="1" applyAlignment="1">
      <alignment horizontal="center"/>
    </xf>
    <xf numFmtId="0" fontId="16" fillId="0" borderId="0" xfId="3" applyFont="1"/>
    <xf numFmtId="0" fontId="6" fillId="0" borderId="6" xfId="3" applyFont="1" applyBorder="1" applyAlignment="1">
      <alignment horizontal="left" indent="1"/>
    </xf>
    <xf numFmtId="0" fontId="6" fillId="0" borderId="7" xfId="3" applyFont="1" applyBorder="1" applyAlignment="1">
      <alignment horizontal="right"/>
    </xf>
    <xf numFmtId="0" fontId="6" fillId="0" borderId="9" xfId="3" applyFont="1" applyBorder="1" applyAlignment="1">
      <alignment horizontal="left" wrapText="1" indent="1"/>
    </xf>
    <xf numFmtId="0" fontId="6" fillId="0" borderId="10" xfId="3" applyFont="1" applyBorder="1" applyAlignment="1">
      <alignment horizontal="right"/>
    </xf>
    <xf numFmtId="14" fontId="15" fillId="2" borderId="0" xfId="3" applyNumberFormat="1" applyFont="1" applyFill="1" applyAlignment="1" applyProtection="1">
      <alignment horizontal="center"/>
      <protection locked="0"/>
    </xf>
    <xf numFmtId="44" fontId="7" fillId="4" borderId="13" xfId="3" applyNumberFormat="1" applyFont="1" applyFill="1" applyBorder="1" applyAlignment="1" applyProtection="1">
      <alignment horizontal="right"/>
      <protection locked="0"/>
    </xf>
    <xf numFmtId="0" fontId="4" fillId="3" borderId="10" xfId="0" applyFont="1" applyFill="1" applyBorder="1"/>
    <xf numFmtId="0" fontId="2" fillId="0" borderId="23" xfId="0" applyFont="1" applyBorder="1" applyAlignment="1">
      <alignment horizontal="right" vertical="center"/>
    </xf>
    <xf numFmtId="0" fontId="2" fillId="0" borderId="26" xfId="0" applyFont="1" applyBorder="1" applyAlignment="1">
      <alignment horizontal="right" vertical="center"/>
    </xf>
    <xf numFmtId="0" fontId="2" fillId="0" borderId="28" xfId="0" applyFont="1" applyBorder="1" applyAlignment="1">
      <alignment horizontal="right"/>
    </xf>
    <xf numFmtId="0" fontId="3" fillId="3" borderId="9" xfId="0" applyFont="1" applyFill="1" applyBorder="1"/>
    <xf numFmtId="164" fontId="6" fillId="0" borderId="23" xfId="3" applyNumberFormat="1" applyFont="1" applyBorder="1" applyAlignment="1">
      <alignment horizontal="center" vertical="center"/>
    </xf>
    <xf numFmtId="0" fontId="6" fillId="0" borderId="21" xfId="3" applyFont="1" applyBorder="1" applyAlignment="1">
      <alignment horizontal="center" vertical="center" wrapText="1"/>
    </xf>
    <xf numFmtId="0" fontId="6" fillId="0" borderId="0" xfId="3" applyFont="1" applyAlignment="1">
      <alignment horizontal="center" vertical="center"/>
    </xf>
    <xf numFmtId="0" fontId="6" fillId="0" borderId="28" xfId="3" applyFont="1" applyBorder="1" applyAlignment="1">
      <alignment vertical="center" wrapText="1"/>
    </xf>
    <xf numFmtId="0" fontId="7" fillId="0" borderId="0" xfId="3" applyFont="1" applyAlignment="1">
      <alignment vertical="center"/>
    </xf>
    <xf numFmtId="0" fontId="2" fillId="5" borderId="28" xfId="3" applyFont="1" applyFill="1" applyBorder="1" applyAlignment="1">
      <alignment horizontal="left" vertical="center" wrapText="1"/>
    </xf>
    <xf numFmtId="44" fontId="7" fillId="0" borderId="34" xfId="5" applyFont="1" applyBorder="1" applyAlignment="1">
      <alignment vertical="center"/>
    </xf>
    <xf numFmtId="44" fontId="7" fillId="0" borderId="0" xfId="3" applyNumberFormat="1" applyFont="1" applyAlignment="1">
      <alignment vertical="center"/>
    </xf>
    <xf numFmtId="49" fontId="2" fillId="0" borderId="28" xfId="5" applyNumberFormat="1" applyFont="1" applyFill="1" applyBorder="1" applyAlignment="1" applyProtection="1">
      <alignment horizontal="left" vertical="center" wrapText="1"/>
    </xf>
    <xf numFmtId="10" fontId="7" fillId="0" borderId="34" xfId="6" applyNumberFormat="1" applyFont="1" applyBorder="1" applyAlignment="1">
      <alignment vertical="center"/>
    </xf>
    <xf numFmtId="0" fontId="6" fillId="0" borderId="20" xfId="3" applyFont="1" applyBorder="1" applyAlignment="1">
      <alignment vertical="center" wrapText="1"/>
    </xf>
    <xf numFmtId="44" fontId="7" fillId="0" borderId="22" xfId="5" applyFont="1" applyBorder="1" applyAlignment="1">
      <alignment vertical="center"/>
    </xf>
    <xf numFmtId="0" fontId="7" fillId="0" borderId="0" xfId="3" applyFont="1" applyAlignment="1">
      <alignment wrapText="1"/>
    </xf>
    <xf numFmtId="44" fontId="7" fillId="0" borderId="0" xfId="3" applyNumberFormat="1" applyFont="1"/>
    <xf numFmtId="0" fontId="18" fillId="0" borderId="0" xfId="3" applyFont="1" applyAlignment="1">
      <alignment horizontal="center" vertical="center" wrapText="1"/>
    </xf>
    <xf numFmtId="10" fontId="7" fillId="0" borderId="0" xfId="6" applyNumberFormat="1" applyFont="1"/>
    <xf numFmtId="44" fontId="7" fillId="4" borderId="13" xfId="1" applyFont="1" applyFill="1" applyBorder="1" applyAlignment="1" applyProtection="1">
      <alignment horizontal="right"/>
      <protection locked="0"/>
    </xf>
    <xf numFmtId="0" fontId="3" fillId="0" borderId="7" xfId="0" applyFont="1" applyBorder="1" applyAlignment="1">
      <alignment horizontal="right"/>
    </xf>
    <xf numFmtId="0" fontId="3" fillId="0" borderId="0" xfId="0" applyFont="1" applyAlignment="1">
      <alignment horizontal="right"/>
    </xf>
    <xf numFmtId="44" fontId="3" fillId="0" borderId="13" xfId="0" applyNumberFormat="1" applyFont="1" applyBorder="1" applyAlignment="1">
      <alignment horizontal="right"/>
    </xf>
    <xf numFmtId="0" fontId="3" fillId="0" borderId="19" xfId="0" applyFont="1" applyBorder="1" applyAlignment="1">
      <alignment horizontal="center"/>
    </xf>
    <xf numFmtId="0" fontId="3" fillId="3" borderId="13" xfId="0" applyFont="1" applyFill="1" applyBorder="1"/>
    <xf numFmtId="0" fontId="3" fillId="3" borderId="11" xfId="0" applyFont="1" applyFill="1" applyBorder="1"/>
    <xf numFmtId="164" fontId="12" fillId="0" borderId="12" xfId="3" applyNumberFormat="1" applyFont="1" applyBorder="1"/>
    <xf numFmtId="0" fontId="7" fillId="0" borderId="11" xfId="3" applyFont="1" applyBorder="1" applyAlignment="1" applyProtection="1">
      <alignment horizontal="right"/>
      <protection locked="0"/>
    </xf>
    <xf numFmtId="44" fontId="6" fillId="0" borderId="12" xfId="1" applyFont="1" applyBorder="1" applyAlignment="1" applyProtection="1">
      <alignment horizontal="right"/>
    </xf>
    <xf numFmtId="44" fontId="6" fillId="0" borderId="11" xfId="1" applyFont="1" applyBorder="1" applyAlignment="1" applyProtection="1">
      <alignment horizontal="right"/>
    </xf>
    <xf numFmtId="44" fontId="7" fillId="4" borderId="12" xfId="1" quotePrefix="1" applyFont="1" applyFill="1" applyBorder="1" applyAlignment="1" applyProtection="1">
      <alignment horizontal="right"/>
      <protection locked="0"/>
    </xf>
    <xf numFmtId="0" fontId="2" fillId="0" borderId="18" xfId="0" applyFont="1" applyBorder="1" applyAlignment="1">
      <alignment horizontal="right"/>
    </xf>
    <xf numFmtId="0" fontId="3" fillId="3" borderId="0" xfId="0" applyFont="1" applyFill="1"/>
    <xf numFmtId="0" fontId="6" fillId="0" borderId="38" xfId="3" applyFont="1" applyBorder="1" applyAlignment="1">
      <alignment horizontal="center" vertical="center" wrapText="1"/>
    </xf>
    <xf numFmtId="0" fontId="6" fillId="0" borderId="26" xfId="3" applyFont="1" applyBorder="1" applyAlignment="1">
      <alignment horizontal="center" vertical="center" wrapText="1"/>
    </xf>
    <xf numFmtId="0" fontId="6" fillId="0" borderId="26" xfId="3" applyFont="1" applyBorder="1" applyAlignment="1">
      <alignment horizontal="center" vertical="center"/>
    </xf>
    <xf numFmtId="17" fontId="6" fillId="0" borderId="26" xfId="3" applyNumberFormat="1" applyFont="1" applyBorder="1" applyAlignment="1">
      <alignment horizontal="center" vertical="center" wrapText="1"/>
    </xf>
    <xf numFmtId="14" fontId="6" fillId="0" borderId="38" xfId="3" applyNumberFormat="1" applyFont="1" applyBorder="1" applyAlignment="1">
      <alignment horizontal="center" vertical="center" wrapText="1"/>
    </xf>
    <xf numFmtId="10" fontId="7" fillId="0" borderId="1" xfId="6" applyNumberFormat="1" applyFont="1" applyFill="1" applyBorder="1" applyAlignment="1">
      <alignment horizontal="center" vertical="center"/>
    </xf>
    <xf numFmtId="10" fontId="7" fillId="0" borderId="2" xfId="6" applyNumberFormat="1" applyFont="1" applyFill="1" applyBorder="1" applyAlignment="1">
      <alignment horizontal="center" vertical="center"/>
    </xf>
    <xf numFmtId="10" fontId="7" fillId="0" borderId="1" xfId="6" applyNumberFormat="1" applyFont="1" applyFill="1" applyBorder="1" applyAlignment="1">
      <alignment vertical="center"/>
    </xf>
    <xf numFmtId="10" fontId="7" fillId="0" borderId="2" xfId="6" applyNumberFormat="1" applyFont="1" applyBorder="1" applyAlignment="1">
      <alignment vertical="center"/>
    </xf>
    <xf numFmtId="10" fontId="7" fillId="0" borderId="1" xfId="6" applyNumberFormat="1" applyFont="1" applyBorder="1" applyAlignment="1">
      <alignment vertical="center"/>
    </xf>
    <xf numFmtId="44" fontId="7" fillId="0" borderId="1" xfId="5" applyFont="1" applyFill="1" applyBorder="1" applyAlignment="1">
      <alignment horizontal="center" vertical="center"/>
    </xf>
    <xf numFmtId="44" fontId="7" fillId="0" borderId="2" xfId="5" applyFont="1" applyFill="1" applyBorder="1" applyAlignment="1">
      <alignment horizontal="center" vertical="center"/>
    </xf>
    <xf numFmtId="44" fontId="7" fillId="0" borderId="1" xfId="5" applyFont="1" applyFill="1" applyBorder="1" applyAlignment="1">
      <alignment vertical="center"/>
    </xf>
    <xf numFmtId="44" fontId="7" fillId="0" borderId="2" xfId="5" applyFont="1" applyBorder="1" applyAlignment="1">
      <alignment vertical="center"/>
    </xf>
    <xf numFmtId="44" fontId="7" fillId="0" borderId="1" xfId="5" applyFont="1" applyBorder="1" applyAlignment="1">
      <alignment vertical="center"/>
    </xf>
    <xf numFmtId="44" fontId="7" fillId="0" borderId="39" xfId="5" applyFont="1" applyFill="1" applyBorder="1" applyAlignment="1">
      <alignment horizontal="center" vertical="center"/>
    </xf>
    <xf numFmtId="44" fontId="7" fillId="0" borderId="36" xfId="5" applyFont="1" applyFill="1" applyBorder="1" applyAlignment="1">
      <alignment horizontal="center" vertical="center"/>
    </xf>
    <xf numFmtId="44" fontId="7" fillId="0" borderId="39" xfId="5" applyFont="1" applyFill="1" applyBorder="1" applyAlignment="1">
      <alignment vertical="center"/>
    </xf>
    <xf numFmtId="44" fontId="7" fillId="0" borderId="36" xfId="5" applyFont="1" applyBorder="1" applyAlignment="1">
      <alignment vertical="center"/>
    </xf>
    <xf numFmtId="44" fontId="7" fillId="0" borderId="39" xfId="5" applyFont="1" applyBorder="1" applyAlignment="1">
      <alignment vertical="center"/>
    </xf>
    <xf numFmtId="0" fontId="6" fillId="0" borderId="23" xfId="3" applyFont="1" applyBorder="1" applyAlignment="1">
      <alignment horizontal="center" vertical="center"/>
    </xf>
    <xf numFmtId="0" fontId="6" fillId="0" borderId="41" xfId="3" applyFont="1" applyBorder="1" applyAlignment="1">
      <alignment horizontal="center" vertical="center" wrapText="1"/>
    </xf>
    <xf numFmtId="0" fontId="6" fillId="0" borderId="38" xfId="3" applyFont="1" applyBorder="1" applyAlignment="1">
      <alignment horizontal="center" vertical="center"/>
    </xf>
    <xf numFmtId="0" fontId="6" fillId="0" borderId="42" xfId="3" applyFont="1" applyBorder="1" applyAlignment="1">
      <alignment horizontal="center" vertical="center" wrapText="1"/>
    </xf>
    <xf numFmtId="0" fontId="6" fillId="0" borderId="41" xfId="3" applyFont="1" applyBorder="1" applyAlignment="1">
      <alignment horizontal="center" vertical="center"/>
    </xf>
    <xf numFmtId="10" fontId="7" fillId="0" borderId="28" xfId="3" applyNumberFormat="1" applyFont="1" applyBorder="1" applyAlignment="1">
      <alignment horizontal="center" vertical="center"/>
    </xf>
    <xf numFmtId="9" fontId="7" fillId="0" borderId="32" xfId="3" applyNumberFormat="1" applyFont="1" applyBorder="1" applyAlignment="1">
      <alignment horizontal="center" vertical="center"/>
    </xf>
    <xf numFmtId="10" fontId="7" fillId="0" borderId="1" xfId="3" applyNumberFormat="1" applyFont="1" applyBorder="1" applyAlignment="1">
      <alignment horizontal="center" vertical="center"/>
    </xf>
    <xf numFmtId="9" fontId="7" fillId="0" borderId="1" xfId="3" applyNumberFormat="1" applyFont="1" applyBorder="1" applyAlignment="1">
      <alignment horizontal="center" vertical="center"/>
    </xf>
    <xf numFmtId="10" fontId="7" fillId="0" borderId="1" xfId="6" applyNumberFormat="1" applyFont="1" applyBorder="1" applyAlignment="1">
      <alignment horizontal="center" vertical="center"/>
    </xf>
    <xf numFmtId="10" fontId="7" fillId="0" borderId="30" xfId="6" applyNumberFormat="1" applyFont="1" applyBorder="1" applyAlignment="1">
      <alignment horizontal="center" vertical="center"/>
    </xf>
    <xf numFmtId="10" fontId="7" fillId="0" borderId="32" xfId="6" applyNumberFormat="1" applyFont="1" applyBorder="1" applyAlignment="1">
      <alignment horizontal="center" vertical="center"/>
    </xf>
    <xf numFmtId="44" fontId="7" fillId="0" borderId="28" xfId="5" applyFont="1" applyBorder="1" applyAlignment="1" applyProtection="1">
      <alignment horizontal="center" vertical="center"/>
    </xf>
    <xf numFmtId="15" fontId="7" fillId="0" borderId="32" xfId="5" applyNumberFormat="1" applyFont="1" applyBorder="1" applyAlignment="1" applyProtection="1">
      <alignment horizontal="center" vertical="center"/>
    </xf>
    <xf numFmtId="44" fontId="7" fillId="0" borderId="1" xfId="5" applyFont="1" applyBorder="1" applyAlignment="1" applyProtection="1">
      <alignment horizontal="center" vertical="center"/>
    </xf>
    <xf numFmtId="15" fontId="7" fillId="0" borderId="1" xfId="5" applyNumberFormat="1" applyFont="1" applyBorder="1" applyAlignment="1" applyProtection="1">
      <alignment horizontal="center" vertical="center"/>
    </xf>
    <xf numFmtId="44" fontId="7" fillId="0" borderId="1" xfId="5" applyFont="1" applyFill="1" applyBorder="1" applyAlignment="1" applyProtection="1">
      <alignment horizontal="center" vertical="center"/>
    </xf>
    <xf numFmtId="166" fontId="7" fillId="0" borderId="1" xfId="5" applyNumberFormat="1" applyFont="1" applyFill="1" applyBorder="1" applyAlignment="1" applyProtection="1">
      <alignment horizontal="center" vertical="center"/>
    </xf>
    <xf numFmtId="44" fontId="7" fillId="0" borderId="1" xfId="5" applyFont="1" applyBorder="1" applyAlignment="1">
      <alignment horizontal="center" vertical="center"/>
    </xf>
    <xf numFmtId="44" fontId="7" fillId="0" borderId="30" xfId="5" applyFont="1" applyBorder="1" applyAlignment="1">
      <alignment horizontal="center" vertical="center"/>
    </xf>
    <xf numFmtId="44" fontId="7" fillId="0" borderId="32" xfId="5" applyFont="1" applyBorder="1" applyAlignment="1">
      <alignment horizontal="center" vertical="center"/>
    </xf>
    <xf numFmtId="10" fontId="7" fillId="0" borderId="28" xfId="6" applyNumberFormat="1" applyFont="1" applyBorder="1" applyAlignment="1" applyProtection="1">
      <alignment horizontal="center" vertical="center"/>
    </xf>
    <xf numFmtId="10" fontId="7" fillId="0" borderId="32" xfId="6" applyNumberFormat="1" applyFont="1" applyBorder="1" applyAlignment="1" applyProtection="1">
      <alignment horizontal="center" vertical="center"/>
    </xf>
    <xf numFmtId="10" fontId="7" fillId="0" borderId="1" xfId="6" applyNumberFormat="1" applyFont="1" applyBorder="1" applyAlignment="1" applyProtection="1">
      <alignment horizontal="center" vertical="center"/>
    </xf>
    <xf numFmtId="10" fontId="7" fillId="0" borderId="1" xfId="6" applyNumberFormat="1" applyFont="1" applyFill="1" applyBorder="1" applyAlignment="1" applyProtection="1">
      <alignment horizontal="center" vertical="center"/>
    </xf>
    <xf numFmtId="44" fontId="7" fillId="0" borderId="32" xfId="5" applyFont="1" applyBorder="1" applyAlignment="1" applyProtection="1">
      <alignment horizontal="center" vertical="center"/>
    </xf>
    <xf numFmtId="44" fontId="7" fillId="0" borderId="28" xfId="3" applyNumberFormat="1" applyFont="1" applyBorder="1" applyAlignment="1">
      <alignment horizontal="center" vertical="center"/>
    </xf>
    <xf numFmtId="44" fontId="7" fillId="0" borderId="32" xfId="3" applyNumberFormat="1" applyFont="1" applyBorder="1" applyAlignment="1">
      <alignment horizontal="center" vertical="center"/>
    </xf>
    <xf numFmtId="44" fontId="7" fillId="0" borderId="1" xfId="3" applyNumberFormat="1" applyFont="1" applyBorder="1" applyAlignment="1">
      <alignment horizontal="center" vertical="center"/>
    </xf>
    <xf numFmtId="9" fontId="7" fillId="0" borderId="28" xfId="5" applyNumberFormat="1" applyFont="1" applyBorder="1" applyAlignment="1" applyProtection="1">
      <alignment horizontal="center" vertical="center"/>
    </xf>
    <xf numFmtId="10" fontId="7" fillId="0" borderId="32" xfId="5" applyNumberFormat="1" applyFont="1" applyBorder="1" applyAlignment="1" applyProtection="1">
      <alignment horizontal="center" vertical="center"/>
    </xf>
    <xf numFmtId="167" fontId="7" fillId="0" borderId="1" xfId="3" applyNumberFormat="1" applyFont="1" applyBorder="1" applyAlignment="1">
      <alignment horizontal="center" vertical="center"/>
    </xf>
    <xf numFmtId="44" fontId="7" fillId="0" borderId="20" xfId="5" applyFont="1" applyBorder="1" applyAlignment="1" applyProtection="1">
      <alignment horizontal="center" vertical="center"/>
    </xf>
    <xf numFmtId="44" fontId="7" fillId="0" borderId="35" xfId="5" applyFont="1" applyBorder="1" applyAlignment="1" applyProtection="1">
      <alignment horizontal="center" vertical="center"/>
    </xf>
    <xf numFmtId="44" fontId="7" fillId="0" borderId="39" xfId="3" applyNumberFormat="1" applyFont="1" applyBorder="1" applyAlignment="1">
      <alignment horizontal="center" vertical="center"/>
    </xf>
    <xf numFmtId="44" fontId="7" fillId="0" borderId="39" xfId="5" applyFont="1" applyBorder="1" applyAlignment="1" applyProtection="1">
      <alignment horizontal="center" vertical="center"/>
    </xf>
    <xf numFmtId="44" fontId="7" fillId="0" borderId="39" xfId="5" applyFont="1" applyFill="1" applyBorder="1" applyAlignment="1" applyProtection="1">
      <alignment horizontal="center" vertical="center"/>
    </xf>
    <xf numFmtId="44" fontId="7" fillId="0" borderId="39" xfId="5" applyFont="1" applyBorder="1" applyAlignment="1">
      <alignment horizontal="center" vertical="center"/>
    </xf>
    <xf numFmtId="44" fontId="7" fillId="0" borderId="43" xfId="5" applyFont="1" applyBorder="1" applyAlignment="1">
      <alignment horizontal="center" vertical="center"/>
    </xf>
    <xf numFmtId="44" fontId="7" fillId="0" borderId="35" xfId="5" applyFont="1" applyBorder="1" applyAlignment="1">
      <alignment horizontal="center" vertical="center"/>
    </xf>
    <xf numFmtId="44" fontId="7" fillId="0" borderId="13" xfId="5" applyFont="1" applyFill="1" applyBorder="1" applyAlignment="1" applyProtection="1">
      <alignment horizontal="right"/>
    </xf>
    <xf numFmtId="0" fontId="6" fillId="0" borderId="0" xfId="3" applyFont="1" applyAlignment="1">
      <alignment wrapText="1"/>
    </xf>
    <xf numFmtId="44" fontId="3" fillId="0" borderId="0" xfId="0" applyNumberFormat="1" applyFont="1"/>
    <xf numFmtId="0" fontId="6" fillId="0" borderId="10" xfId="3" applyFont="1" applyBorder="1" applyAlignment="1">
      <alignment vertical="top"/>
    </xf>
    <xf numFmtId="0" fontId="18" fillId="0" borderId="40" xfId="3" applyFont="1" applyBorder="1" applyAlignment="1">
      <alignment horizontal="left" vertical="top" wrapText="1"/>
    </xf>
    <xf numFmtId="0" fontId="16" fillId="0" borderId="0" xfId="3" applyFont="1" applyProtection="1">
      <protection locked="0"/>
    </xf>
    <xf numFmtId="14" fontId="3" fillId="0" borderId="4" xfId="0" applyNumberFormat="1" applyFont="1" applyBorder="1" applyAlignment="1" applyProtection="1">
      <alignment horizontal="center"/>
      <protection locked="0"/>
    </xf>
    <xf numFmtId="14" fontId="3" fillId="0" borderId="3" xfId="0" applyNumberFormat="1" applyFont="1" applyBorder="1" applyProtection="1">
      <protection locked="0"/>
    </xf>
    <xf numFmtId="44" fontId="6" fillId="0" borderId="13" xfId="3" applyNumberFormat="1" applyFont="1" applyBorder="1" applyAlignment="1">
      <alignment horizontal="right"/>
    </xf>
    <xf numFmtId="10" fontId="7" fillId="0" borderId="28" xfId="6" applyNumberFormat="1" applyFont="1" applyBorder="1" applyAlignment="1">
      <alignment vertical="center"/>
    </xf>
    <xf numFmtId="44" fontId="7" fillId="0" borderId="20" xfId="5" applyFont="1" applyBorder="1" applyAlignment="1">
      <alignment vertical="center"/>
    </xf>
    <xf numFmtId="44" fontId="7" fillId="6" borderId="34" xfId="5" applyFont="1" applyFill="1" applyBorder="1" applyAlignment="1">
      <alignment vertical="center"/>
    </xf>
    <xf numFmtId="44" fontId="7" fillId="6" borderId="22" xfId="5" applyFont="1" applyFill="1" applyBorder="1" applyAlignment="1">
      <alignment vertical="center"/>
    </xf>
    <xf numFmtId="0" fontId="7" fillId="0" borderId="0" xfId="3" applyFont="1"/>
    <xf numFmtId="0" fontId="7" fillId="0" borderId="0" xfId="3" applyFont="1" applyAlignment="1">
      <alignment wrapText="1"/>
    </xf>
    <xf numFmtId="44" fontId="6" fillId="0" borderId="13" xfId="1" applyFont="1" applyFill="1" applyBorder="1" applyAlignment="1" applyProtection="1">
      <alignment horizontal="right"/>
    </xf>
    <xf numFmtId="0" fontId="7" fillId="0" borderId="5" xfId="3" applyFont="1" applyBorder="1" applyAlignment="1">
      <alignment horizontal="left"/>
    </xf>
    <xf numFmtId="0" fontId="7" fillId="0" borderId="0" xfId="3" applyFont="1" applyAlignment="1">
      <alignment horizontal="left"/>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5" borderId="3" xfId="0" applyFont="1" applyFill="1" applyBorder="1" applyAlignment="1" applyProtection="1">
      <alignment horizontal="center"/>
      <protection locked="0"/>
    </xf>
    <xf numFmtId="0" fontId="3" fillId="5" borderId="14" xfId="0" applyFont="1" applyFill="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29" xfId="0" applyFont="1" applyBorder="1" applyAlignment="1" applyProtection="1">
      <alignment horizontal="center"/>
      <protection locked="0"/>
    </xf>
    <xf numFmtId="0" fontId="6" fillId="0" borderId="6" xfId="3" applyFont="1" applyBorder="1" applyAlignment="1">
      <alignment horizontal="left" vertical="top" wrapText="1"/>
    </xf>
    <xf numFmtId="0" fontId="6" fillId="0" borderId="7" xfId="3" applyFont="1" applyBorder="1" applyAlignment="1">
      <alignment horizontal="left" vertical="top" wrapText="1"/>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4" xfId="0" applyFont="1" applyBorder="1" applyAlignment="1" applyProtection="1">
      <alignment horizontal="center"/>
      <protection locked="0"/>
    </xf>
    <xf numFmtId="0" fontId="3" fillId="0" borderId="27" xfId="0" applyFont="1" applyBorder="1" applyAlignment="1" applyProtection="1">
      <alignment horizontal="center"/>
      <protection locked="0"/>
    </xf>
    <xf numFmtId="0" fontId="6" fillId="0" borderId="5" xfId="3" applyFont="1" applyBorder="1" applyAlignment="1">
      <alignment horizontal="left"/>
    </xf>
    <xf numFmtId="0" fontId="6" fillId="0" borderId="0" xfId="3" applyFont="1" applyAlignment="1">
      <alignment horizontal="left"/>
    </xf>
    <xf numFmtId="0" fontId="6" fillId="0" borderId="5" xfId="3" applyFont="1" applyBorder="1" applyAlignment="1">
      <alignment horizontal="left" vertical="center" wrapText="1"/>
    </xf>
    <xf numFmtId="0" fontId="6" fillId="0" borderId="0" xfId="3" applyFont="1" applyAlignment="1">
      <alignment horizontal="left" vertical="center" wrapText="1"/>
    </xf>
    <xf numFmtId="0" fontId="7" fillId="0" borderId="5" xfId="3" applyFont="1" applyBorder="1" applyAlignment="1">
      <alignment horizontal="left" wrapText="1" indent="1"/>
    </xf>
    <xf numFmtId="0" fontId="7" fillId="0" borderId="0" xfId="3" applyFont="1" applyAlignment="1">
      <alignment wrapText="1"/>
    </xf>
    <xf numFmtId="0" fontId="7" fillId="0" borderId="5" xfId="3" applyFont="1" applyBorder="1" applyAlignment="1">
      <alignment wrapText="1"/>
    </xf>
    <xf numFmtId="44" fontId="6" fillId="0" borderId="13" xfId="1" applyFont="1" applyFill="1" applyBorder="1" applyAlignment="1" applyProtection="1">
      <alignment horizontal="right"/>
    </xf>
    <xf numFmtId="0" fontId="7" fillId="0" borderId="13" xfId="3" applyFont="1" applyBorder="1" applyAlignment="1">
      <alignment horizontal="right"/>
    </xf>
    <xf numFmtId="9" fontId="6" fillId="0" borderId="5" xfId="2" applyFont="1" applyFill="1" applyBorder="1" applyAlignment="1" applyProtection="1">
      <alignment horizontal="left"/>
    </xf>
    <xf numFmtId="9" fontId="6" fillId="0" borderId="0" xfId="2" applyFont="1" applyFill="1" applyBorder="1" applyAlignment="1" applyProtection="1">
      <alignment horizontal="left"/>
    </xf>
    <xf numFmtId="9" fontId="7" fillId="0" borderId="5" xfId="2" applyFont="1" applyFill="1" applyBorder="1" applyAlignment="1" applyProtection="1">
      <alignment horizontal="left"/>
    </xf>
    <xf numFmtId="9" fontId="7" fillId="0" borderId="0" xfId="2" applyFont="1" applyFill="1" applyBorder="1" applyAlignment="1" applyProtection="1">
      <alignment horizontal="left"/>
    </xf>
    <xf numFmtId="0" fontId="6" fillId="0" borderId="9" xfId="3" applyFont="1" applyBorder="1" applyAlignment="1">
      <alignment horizontal="left" vertical="top"/>
    </xf>
    <xf numFmtId="0" fontId="6" fillId="0" borderId="10" xfId="3" applyFont="1" applyBorder="1" applyAlignment="1">
      <alignment horizontal="left" vertical="top"/>
    </xf>
    <xf numFmtId="0" fontId="6" fillId="0" borderId="5" xfId="3" applyFont="1" applyBorder="1" applyAlignment="1">
      <alignment horizontal="left" vertical="top" wrapText="1"/>
    </xf>
    <xf numFmtId="0" fontId="6" fillId="0" borderId="0" xfId="3" applyFont="1" applyAlignment="1">
      <alignment horizontal="left" vertical="top" wrapText="1"/>
    </xf>
    <xf numFmtId="0" fontId="6" fillId="0" borderId="6" xfId="3" applyFont="1" applyBorder="1" applyAlignment="1">
      <alignment horizontal="left"/>
    </xf>
    <xf numFmtId="0" fontId="6" fillId="0" borderId="7" xfId="3" applyFont="1" applyBorder="1" applyAlignment="1">
      <alignment horizontal="left"/>
    </xf>
    <xf numFmtId="0" fontId="7" fillId="0" borderId="5" xfId="3" applyFont="1" applyBorder="1" applyAlignment="1">
      <alignment horizontal="left"/>
    </xf>
    <xf numFmtId="0" fontId="7" fillId="0" borderId="0" xfId="3" applyFont="1" applyAlignment="1">
      <alignment horizontal="left"/>
    </xf>
    <xf numFmtId="9" fontId="6" fillId="0" borderId="9" xfId="2" applyFont="1" applyFill="1" applyBorder="1" applyAlignment="1" applyProtection="1">
      <alignment horizontal="left"/>
    </xf>
    <xf numFmtId="9" fontId="6" fillId="0" borderId="10" xfId="2" applyFont="1" applyFill="1" applyBorder="1" applyAlignment="1" applyProtection="1">
      <alignment horizontal="left"/>
    </xf>
    <xf numFmtId="0" fontId="19" fillId="0" borderId="7" xfId="3" applyFont="1" applyBorder="1" applyAlignment="1" applyProtection="1">
      <alignment horizontal="center"/>
      <protection locked="0"/>
    </xf>
    <xf numFmtId="44" fontId="6" fillId="0" borderId="7" xfId="1" applyFont="1" applyBorder="1" applyAlignment="1" applyProtection="1">
      <alignment horizontal="center"/>
    </xf>
    <xf numFmtId="44" fontId="12" fillId="0" borderId="10" xfId="1" applyFont="1" applyBorder="1" applyAlignment="1" applyProtection="1">
      <alignment horizontal="center"/>
    </xf>
    <xf numFmtId="44" fontId="7" fillId="0" borderId="6" xfId="1" applyFont="1" applyBorder="1" applyAlignment="1" applyProtection="1">
      <alignment horizontal="center" wrapText="1"/>
    </xf>
    <xf numFmtId="44" fontId="7" fillId="0" borderId="7" xfId="1" applyFont="1" applyBorder="1" applyAlignment="1" applyProtection="1">
      <alignment horizontal="center" wrapText="1"/>
    </xf>
    <xf numFmtId="44" fontId="7" fillId="0" borderId="12" xfId="1" applyFont="1" applyBorder="1" applyAlignment="1" applyProtection="1">
      <alignment horizontal="center" wrapText="1"/>
    </xf>
    <xf numFmtId="44" fontId="7" fillId="0" borderId="9" xfId="1" applyFont="1" applyBorder="1" applyAlignment="1" applyProtection="1">
      <alignment horizontal="center" wrapText="1"/>
    </xf>
    <xf numFmtId="44" fontId="7" fillId="0" borderId="10" xfId="1" applyFont="1" applyBorder="1" applyAlignment="1" applyProtection="1">
      <alignment horizontal="center" wrapText="1"/>
    </xf>
    <xf numFmtId="44" fontId="7" fillId="0" borderId="11" xfId="1" applyFont="1" applyBorder="1" applyAlignment="1" applyProtection="1">
      <alignment horizontal="center" wrapText="1"/>
    </xf>
    <xf numFmtId="44" fontId="16" fillId="0" borderId="5" xfId="1" applyFont="1" applyBorder="1" applyAlignment="1" applyProtection="1">
      <alignment horizontal="center"/>
      <protection locked="0"/>
    </xf>
    <xf numFmtId="44" fontId="16" fillId="0" borderId="0" xfId="1" applyFont="1" applyBorder="1" applyAlignment="1" applyProtection="1">
      <alignment horizontal="center"/>
      <protection locked="0"/>
    </xf>
    <xf numFmtId="0" fontId="16" fillId="0" borderId="0" xfId="3" applyFont="1" applyAlignment="1" applyProtection="1">
      <alignment horizontal="center"/>
      <protection locked="0"/>
    </xf>
    <xf numFmtId="0" fontId="16" fillId="0" borderId="13" xfId="3" applyFont="1" applyBorder="1" applyAlignment="1" applyProtection="1">
      <alignment horizontal="center"/>
      <protection locked="0"/>
    </xf>
    <xf numFmtId="0" fontId="6" fillId="0" borderId="9" xfId="3" applyFont="1" applyBorder="1" applyAlignment="1">
      <alignment horizontal="center" wrapText="1"/>
    </xf>
    <xf numFmtId="0" fontId="6" fillId="0" borderId="10" xfId="3" applyFont="1" applyBorder="1" applyAlignment="1">
      <alignment horizontal="center" wrapText="1"/>
    </xf>
    <xf numFmtId="0" fontId="7" fillId="0" borderId="32" xfId="3" applyFont="1" applyBorder="1" applyAlignment="1">
      <alignment horizontal="center" vertical="center" wrapText="1"/>
    </xf>
    <xf numFmtId="0" fontId="7" fillId="0" borderId="35" xfId="3" applyFont="1" applyBorder="1" applyAlignment="1">
      <alignment horizontal="center" vertical="center" wrapText="1"/>
    </xf>
    <xf numFmtId="0" fontId="6" fillId="0" borderId="23" xfId="3" applyFont="1" applyBorder="1" applyAlignment="1">
      <alignment horizontal="center"/>
    </xf>
    <xf numFmtId="0" fontId="6" fillId="0" borderId="24" xfId="3" applyFont="1" applyBorder="1" applyAlignment="1">
      <alignment horizontal="center"/>
    </xf>
    <xf numFmtId="0" fontId="6" fillId="0" borderId="25" xfId="3" applyFont="1" applyBorder="1" applyAlignment="1">
      <alignment horizontal="center"/>
    </xf>
    <xf numFmtId="0" fontId="7" fillId="0" borderId="16" xfId="3" applyFont="1" applyBorder="1" applyAlignment="1">
      <alignment horizontal="center" vertical="center" wrapText="1"/>
    </xf>
    <xf numFmtId="0" fontId="7" fillId="0" borderId="17" xfId="3" applyFont="1" applyBorder="1" applyAlignment="1">
      <alignment horizontal="center" vertical="center" wrapText="1"/>
    </xf>
    <xf numFmtId="0" fontId="7" fillId="0" borderId="14" xfId="3" applyFont="1" applyBorder="1" applyAlignment="1">
      <alignment horizontal="center" vertical="center" wrapText="1"/>
    </xf>
    <xf numFmtId="0" fontId="7" fillId="0" borderId="8" xfId="3" applyFont="1" applyBorder="1" applyAlignment="1">
      <alignment horizontal="center" vertical="center" wrapText="1"/>
    </xf>
    <xf numFmtId="0" fontId="7" fillId="0" borderId="0" xfId="3" applyFont="1" applyAlignment="1">
      <alignment horizontal="center" vertical="center" wrapText="1"/>
    </xf>
    <xf numFmtId="0" fontId="7" fillId="0" borderId="31" xfId="3" applyFont="1" applyBorder="1" applyAlignment="1">
      <alignment horizontal="center" vertical="center" wrapText="1"/>
    </xf>
    <xf numFmtId="0" fontId="7" fillId="0" borderId="18" xfId="3" applyFont="1" applyBorder="1" applyAlignment="1">
      <alignment horizontal="center" vertical="center" wrapText="1"/>
    </xf>
    <xf numFmtId="0" fontId="7" fillId="0" borderId="15" xfId="3" applyFont="1" applyBorder="1" applyAlignment="1">
      <alignment horizontal="center" vertical="center" wrapText="1"/>
    </xf>
    <xf numFmtId="0" fontId="7" fillId="0" borderId="19" xfId="3" applyFont="1" applyBorder="1" applyAlignment="1">
      <alignment horizontal="center" vertical="center" wrapText="1"/>
    </xf>
    <xf numFmtId="0" fontId="7" fillId="0" borderId="33" xfId="3" applyFont="1" applyBorder="1" applyAlignment="1">
      <alignment horizontal="center" vertical="center" wrapText="1"/>
    </xf>
    <xf numFmtId="0" fontId="7" fillId="0" borderId="10" xfId="3" applyFont="1" applyBorder="1" applyAlignment="1">
      <alignment horizontal="center" vertical="center" wrapText="1"/>
    </xf>
    <xf numFmtId="0" fontId="7" fillId="0" borderId="37" xfId="3" applyFont="1" applyBorder="1" applyAlignment="1">
      <alignment horizontal="center" vertical="center" wrapText="1"/>
    </xf>
    <xf numFmtId="0" fontId="7" fillId="0" borderId="5" xfId="3" applyFont="1" applyBorder="1" applyAlignment="1"/>
    <xf numFmtId="0" fontId="7" fillId="0" borderId="0" xfId="3" applyFont="1" applyAlignment="1"/>
  </cellXfs>
  <cellStyles count="7">
    <cellStyle name="Currency" xfId="1" builtinId="4"/>
    <cellStyle name="Currency 2" xfId="5" xr:uid="{CAF6FD19-723C-4A73-AF9C-40725BDE3172}"/>
    <cellStyle name="Normal" xfId="0" builtinId="0"/>
    <cellStyle name="Normal 2" xfId="4" xr:uid="{8CD4754D-187B-4630-9E7E-E60E4BF8A378}"/>
    <cellStyle name="Normal 3" xfId="3" xr:uid="{DB8019D6-D60D-4795-A849-047D4072A4B0}"/>
    <cellStyle name="Percent" xfId="2" builtinId="5"/>
    <cellStyle name="Percent 2" xfId="6" xr:uid="{839285BB-B15F-4C88-8C21-43D569D8A1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Radio" checked="Checked" firstButton="1"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12700</xdr:rowOff>
        </xdr:from>
        <xdr:to>
          <xdr:col>4</xdr:col>
          <xdr:colOff>152400</xdr:colOff>
          <xdr:row>2</xdr:row>
          <xdr:rowOff>69850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Alternative Care Facility (EBD, CMHS)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175420</xdr:colOff>
      <xdr:row>7</xdr:row>
      <xdr:rowOff>26196</xdr:rowOff>
    </xdr:from>
    <xdr:to>
      <xdr:col>1</xdr:col>
      <xdr:colOff>607220</xdr:colOff>
      <xdr:row>8</xdr:row>
      <xdr:rowOff>158750</xdr:rowOff>
    </xdr:to>
    <xdr:sp macro="" textlink="">
      <xdr:nvSpPr>
        <xdr:cNvPr id="2" name="Right Arrow 3">
          <a:extLst>
            <a:ext uri="{FF2B5EF4-FFF2-40B4-BE49-F238E27FC236}">
              <a16:creationId xmlns:a16="http://schemas.microsoft.com/office/drawing/2014/main" id="{00000000-0008-0000-0100-000002000000}"/>
            </a:ext>
          </a:extLst>
        </xdr:cNvPr>
        <xdr:cNvSpPr/>
      </xdr:nvSpPr>
      <xdr:spPr>
        <a:xfrm rot="16200000">
          <a:off x="7892655" y="2224486"/>
          <a:ext cx="294479" cy="431800"/>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692CF-B518-406E-B280-F3068F581808}">
  <sheetPr codeName="Sheet1"/>
  <dimension ref="A1:J42"/>
  <sheetViews>
    <sheetView tabSelected="1" view="pageLayout" zoomScale="99" zoomScaleNormal="100" zoomScalePageLayoutView="99" workbookViewId="0">
      <selection activeCell="A9" sqref="A9:E9"/>
    </sheetView>
  </sheetViews>
  <sheetFormatPr defaultColWidth="9.140625" defaultRowHeight="12.95"/>
  <cols>
    <col min="1" max="1" width="11.7109375" style="1" customWidth="1"/>
    <col min="2" max="2" width="13.28515625" style="1" customWidth="1"/>
    <col min="3" max="3" width="11.28515625" style="1" customWidth="1"/>
    <col min="4" max="4" width="11.42578125" style="1" customWidth="1"/>
    <col min="5" max="5" width="13.28515625" style="1" customWidth="1"/>
    <col min="6" max="6" width="16.5703125" style="1" customWidth="1"/>
    <col min="7" max="7" width="12" style="1" customWidth="1"/>
    <col min="8" max="8" width="9.140625" style="1"/>
    <col min="9" max="9" width="8" style="1" customWidth="1"/>
    <col min="10" max="10" width="8.7109375" style="1" customWidth="1"/>
    <col min="11" max="16384" width="9.140625" style="1"/>
  </cols>
  <sheetData>
    <row r="1" spans="1:10" ht="10.5" customHeight="1">
      <c r="A1" s="157"/>
      <c r="B1" s="158"/>
      <c r="C1" s="158"/>
      <c r="D1" s="158"/>
      <c r="E1" s="158"/>
      <c r="F1" s="158"/>
      <c r="G1" s="159"/>
    </row>
    <row r="2" spans="1:10" ht="10.5" customHeight="1" thickBot="1">
      <c r="A2" s="160"/>
      <c r="B2" s="161"/>
      <c r="C2" s="161"/>
      <c r="D2" s="161"/>
      <c r="E2" s="161"/>
      <c r="F2" s="161"/>
      <c r="G2" s="162"/>
    </row>
    <row r="3" spans="1:10" ht="12.95" customHeight="1">
      <c r="A3" s="45" t="s">
        <v>0</v>
      </c>
      <c r="B3" s="170"/>
      <c r="C3" s="170"/>
      <c r="D3" s="171"/>
      <c r="E3" s="46" t="s">
        <v>1</v>
      </c>
      <c r="F3" s="172"/>
      <c r="G3" s="173"/>
    </row>
    <row r="4" spans="1:10">
      <c r="A4" s="47" t="s">
        <v>2</v>
      </c>
      <c r="B4" s="165"/>
      <c r="C4" s="165"/>
      <c r="D4" s="166"/>
      <c r="E4" s="3" t="s">
        <v>3</v>
      </c>
      <c r="F4" s="165"/>
      <c r="G4" s="167"/>
    </row>
    <row r="5" spans="1:10">
      <c r="A5" s="47" t="s">
        <v>4</v>
      </c>
      <c r="B5" s="163"/>
      <c r="C5" s="163"/>
      <c r="D5" s="164"/>
      <c r="E5" s="3" t="s">
        <v>5</v>
      </c>
      <c r="F5" s="165"/>
      <c r="G5" s="167"/>
    </row>
    <row r="6" spans="1:10">
      <c r="A6" s="47" t="s">
        <v>6</v>
      </c>
      <c r="B6" s="145">
        <v>45658</v>
      </c>
      <c r="C6" s="4" t="s">
        <v>7</v>
      </c>
      <c r="D6" s="146">
        <v>46022</v>
      </c>
      <c r="E6" s="77" t="s">
        <v>8</v>
      </c>
      <c r="F6" s="69">
        <f>DATEDIF(B6,D6,"D")+1</f>
        <v>365</v>
      </c>
      <c r="G6" s="70"/>
    </row>
    <row r="7" spans="1:10" ht="15.75" customHeight="1" thickBot="1">
      <c r="A7" s="48"/>
      <c r="B7" s="44"/>
      <c r="C7" s="71"/>
      <c r="D7" s="78"/>
      <c r="E7" s="78"/>
      <c r="F7" s="78"/>
      <c r="G7" s="78"/>
    </row>
    <row r="8" spans="1:10" ht="35.25" customHeight="1">
      <c r="A8" s="168" t="s">
        <v>9</v>
      </c>
      <c r="B8" s="169"/>
      <c r="C8" s="169"/>
      <c r="D8" s="169"/>
      <c r="E8" s="169"/>
      <c r="F8" s="66" t="s">
        <v>10</v>
      </c>
      <c r="G8" s="76"/>
    </row>
    <row r="9" spans="1:10">
      <c r="A9" s="174" t="s">
        <v>11</v>
      </c>
      <c r="B9" s="175"/>
      <c r="C9" s="175"/>
      <c r="D9" s="175"/>
      <c r="E9" s="175"/>
      <c r="F9" s="67" t="s">
        <v>12</v>
      </c>
      <c r="G9" s="43"/>
    </row>
    <row r="10" spans="1:10">
      <c r="A10" s="174" t="s">
        <v>13</v>
      </c>
      <c r="B10" s="175"/>
      <c r="C10" s="175"/>
      <c r="D10" s="175"/>
      <c r="E10" s="175"/>
      <c r="F10" s="67"/>
      <c r="G10" s="11">
        <f>GrossIncome+ClientLTInsurance</f>
        <v>0</v>
      </c>
    </row>
    <row r="11" spans="1:10">
      <c r="A11" s="183" t="s">
        <v>14</v>
      </c>
      <c r="B11" s="184"/>
      <c r="C11" s="184"/>
      <c r="D11" s="184"/>
      <c r="E11" s="184"/>
      <c r="F11" s="67"/>
      <c r="G11" s="147">
        <f>IF((TotalGrossIncome-RoomBoard)&lt;=PNAMax,IF((TotalGrossIncome-RoomBoard)&lt;0,0,(TotalGrossIncome-RoomBoard)),PNAMax)</f>
        <v>0</v>
      </c>
    </row>
    <row r="12" spans="1:10" ht="14.45">
      <c r="A12" s="185" t="s">
        <v>15</v>
      </c>
      <c r="B12" s="186"/>
      <c r="C12" s="186"/>
      <c r="D12" s="186"/>
      <c r="E12" s="186"/>
      <c r="F12" s="67"/>
      <c r="G12" s="68">
        <v>421.46</v>
      </c>
      <c r="H12"/>
      <c r="I12"/>
      <c r="J12"/>
    </row>
    <row r="13" spans="1:10" ht="24.75" customHeight="1">
      <c r="A13" s="176" t="s">
        <v>16</v>
      </c>
      <c r="B13" s="177"/>
      <c r="C13" s="177"/>
      <c r="D13" s="177"/>
      <c r="E13" s="177"/>
      <c r="F13" s="67" t="s">
        <v>17</v>
      </c>
      <c r="G13" s="65"/>
      <c r="H13"/>
      <c r="I13"/>
      <c r="J13"/>
    </row>
    <row r="14" spans="1:10" ht="69" customHeight="1">
      <c r="A14" s="189" t="s">
        <v>18</v>
      </c>
      <c r="B14" s="190"/>
      <c r="C14" s="190"/>
      <c r="D14" s="190"/>
      <c r="E14" s="190"/>
      <c r="F14" s="67" t="s">
        <v>19</v>
      </c>
      <c r="G14" s="65"/>
      <c r="H14"/>
      <c r="I14"/>
      <c r="J14"/>
    </row>
    <row r="15" spans="1:10" ht="15.6" customHeight="1">
      <c r="A15" s="189" t="s">
        <v>20</v>
      </c>
      <c r="B15" s="190"/>
      <c r="C15" s="190"/>
      <c r="D15" s="190"/>
      <c r="E15" s="190"/>
      <c r="F15" s="67" t="s">
        <v>21</v>
      </c>
      <c r="G15" s="65"/>
    </row>
    <row r="16" spans="1:10" ht="14.1" customHeight="1" thickBot="1">
      <c r="A16" s="187" t="s">
        <v>22</v>
      </c>
      <c r="B16" s="188"/>
      <c r="C16" s="188"/>
      <c r="D16" s="188"/>
      <c r="E16" s="188"/>
      <c r="F16" s="142"/>
      <c r="G16" s="10">
        <f>IF(SUM(G13:G15)&gt;(G10-G19-G11),IF((G10-G19-G11)&lt;0,0,(G10-G19-G11)+G11),G11+(SUM(G13:G15)))</f>
        <v>0</v>
      </c>
      <c r="I16" s="141"/>
    </row>
    <row r="17" spans="1:9" ht="15.75" customHeight="1">
      <c r="A17" s="191" t="s">
        <v>23</v>
      </c>
      <c r="B17" s="192"/>
      <c r="C17" s="30"/>
      <c r="D17" s="141"/>
      <c r="F17" s="141"/>
      <c r="G17" s="32"/>
      <c r="I17" s="141"/>
    </row>
    <row r="18" spans="1:9">
      <c r="A18" s="193" t="s">
        <v>24</v>
      </c>
      <c r="B18" s="194"/>
      <c r="C18" s="194"/>
      <c r="G18" s="6">
        <f>IF((TotalGrossIncome-RoomBoard-G16)&gt;=ServiceAmount,ServiceAmount,MAX((TotalGrossIncome-RoomBoard-G16),0))</f>
        <v>0</v>
      </c>
    </row>
    <row r="19" spans="1:9" ht="15.95">
      <c r="A19" s="185" t="s">
        <v>25</v>
      </c>
      <c r="B19" s="186"/>
      <c r="C19" s="186"/>
      <c r="E19" s="141"/>
      <c r="G19" s="6">
        <f>'ACF PETI Key Non Denver'!B7</f>
        <v>797</v>
      </c>
      <c r="H19"/>
    </row>
    <row r="20" spans="1:9" ht="15.75" customHeight="1" thickBot="1">
      <c r="A20" s="195" t="s">
        <v>26</v>
      </c>
      <c r="B20" s="196"/>
      <c r="C20" s="8"/>
      <c r="E20" s="141"/>
      <c r="G20" s="154">
        <f>IF(G18&lt;=0, G19, G18+G19)</f>
        <v>797</v>
      </c>
      <c r="H20"/>
    </row>
    <row r="21" spans="1:9" ht="14.45">
      <c r="A21" s="191" t="s">
        <v>27</v>
      </c>
      <c r="B21" s="192"/>
      <c r="C21" s="13"/>
      <c r="D21" s="14"/>
      <c r="E21" s="13"/>
      <c r="F21" s="14"/>
      <c r="G21" s="27"/>
      <c r="H21"/>
    </row>
    <row r="22" spans="1:9" ht="14.45">
      <c r="A22" s="155" t="s">
        <v>28</v>
      </c>
      <c r="B22" s="28"/>
      <c r="C22" s="28"/>
      <c r="D22" s="28"/>
      <c r="E22" s="152"/>
      <c r="F22" s="152"/>
      <c r="G22" s="11">
        <f>IF((TotalGrossIncome-G16-RoomBoard)&lt;0,0,(TotalGrossIncome-G16-RoomBoard))</f>
        <v>0</v>
      </c>
      <c r="H22"/>
    </row>
    <row r="23" spans="1:9">
      <c r="A23" s="2" t="s">
        <v>29</v>
      </c>
      <c r="B23" s="29"/>
      <c r="C23" s="25"/>
      <c r="D23" s="26"/>
      <c r="E23" s="25"/>
      <c r="F23" s="26"/>
      <c r="G23" s="6">
        <f>IF(G22&gt;G18,(G22-G18),0)</f>
        <v>0</v>
      </c>
    </row>
    <row r="24" spans="1:9" ht="13.5" thickBot="1">
      <c r="A24" s="12" t="s">
        <v>30</v>
      </c>
      <c r="B24" s="7"/>
      <c r="C24" s="8"/>
      <c r="D24" s="9"/>
      <c r="E24" s="8"/>
      <c r="F24" s="9"/>
      <c r="G24" s="10">
        <f>G23+G16</f>
        <v>0</v>
      </c>
    </row>
    <row r="25" spans="1:9">
      <c r="A25" s="191" t="s">
        <v>31</v>
      </c>
      <c r="B25" s="192"/>
      <c r="C25" s="13"/>
      <c r="D25" s="31"/>
      <c r="E25" s="31"/>
      <c r="F25" s="31"/>
      <c r="G25" s="32"/>
    </row>
    <row r="26" spans="1:9">
      <c r="A26" s="229" t="s">
        <v>32</v>
      </c>
      <c r="B26" s="230"/>
      <c r="C26" s="230"/>
      <c r="D26" s="152"/>
      <c r="E26" s="152"/>
      <c r="F26" s="152"/>
      <c r="G26" s="139">
        <f>(30.42*'ACF PETI Key Non Denver'!B3)</f>
        <v>3155.1624000000002</v>
      </c>
    </row>
    <row r="27" spans="1:9">
      <c r="A27" s="155" t="s">
        <v>33</v>
      </c>
      <c r="B27" s="152"/>
      <c r="C27" s="156"/>
      <c r="D27" s="152"/>
      <c r="E27" s="33"/>
      <c r="F27" s="26"/>
      <c r="G27" s="6">
        <f>IF(ClientACFServicePayment&lt;ServiceAmount,IF(ClientACFServicePayment&lt;0,0,ClientACFServicePayment),ServiceAmount)</f>
        <v>0</v>
      </c>
    </row>
    <row r="28" spans="1:9">
      <c r="A28" s="178" t="s">
        <v>34</v>
      </c>
      <c r="B28" s="179"/>
      <c r="C28" s="179"/>
      <c r="D28" s="179"/>
      <c r="E28" s="179"/>
      <c r="F28" s="179"/>
      <c r="G28" s="181">
        <f>ServiceAmount-G27</f>
        <v>3155.1624000000002</v>
      </c>
    </row>
    <row r="29" spans="1:9">
      <c r="A29" s="180"/>
      <c r="B29" s="179"/>
      <c r="C29" s="179"/>
      <c r="D29" s="179"/>
      <c r="E29" s="179"/>
      <c r="F29" s="179"/>
      <c r="G29" s="182"/>
    </row>
    <row r="30" spans="1:9" ht="13.5" thickBot="1">
      <c r="A30" s="34" t="s">
        <v>35</v>
      </c>
      <c r="B30" s="8"/>
      <c r="C30" s="8"/>
      <c r="D30" s="8"/>
      <c r="E30" s="8"/>
      <c r="F30" s="9"/>
      <c r="G30" s="10">
        <f>IF(ClientACFServicePayment&gt;ServiceAmount,0.01,IF(ClientACFServicePayment&lt;0,'ACF PETI Key Non Denver'!B3,TRUNC(G28/30.42,3)))</f>
        <v>103.72</v>
      </c>
    </row>
    <row r="31" spans="1:9" ht="15" customHeight="1">
      <c r="A31" s="191" t="s">
        <v>36</v>
      </c>
      <c r="B31" s="192"/>
      <c r="C31" s="192"/>
      <c r="D31" s="13"/>
      <c r="E31" s="13"/>
      <c r="F31" s="14"/>
      <c r="G31" s="72"/>
    </row>
    <row r="32" spans="1:9" ht="13.5">
      <c r="A32" s="15" t="s">
        <v>37</v>
      </c>
      <c r="B32" s="35"/>
      <c r="C32" s="35"/>
      <c r="D32" s="35"/>
      <c r="E32" s="35"/>
      <c r="F32" s="35"/>
      <c r="G32" s="16"/>
    </row>
    <row r="33" spans="1:7" ht="13.5">
      <c r="A33" s="17" t="s">
        <v>38</v>
      </c>
      <c r="B33" s="36"/>
      <c r="C33" s="42">
        <v>45658</v>
      </c>
      <c r="D33" s="152" t="s">
        <v>39</v>
      </c>
      <c r="E33" s="152"/>
      <c r="F33" s="152"/>
      <c r="G33" s="18"/>
    </row>
    <row r="34" spans="1:7" ht="13.5">
      <c r="A34" s="19" t="s">
        <v>40</v>
      </c>
      <c r="B34" s="37"/>
      <c r="C34" s="37"/>
      <c r="D34" s="37"/>
      <c r="E34" s="37"/>
      <c r="F34" s="37"/>
      <c r="G34" s="20"/>
    </row>
    <row r="35" spans="1:7">
      <c r="A35" s="21" t="s">
        <v>41</v>
      </c>
      <c r="B35" s="37"/>
      <c r="C35" s="37"/>
      <c r="D35" s="37"/>
      <c r="E35" s="37"/>
      <c r="F35" s="37"/>
      <c r="G35" s="20"/>
    </row>
    <row r="36" spans="1:7" ht="25.5" customHeight="1">
      <c r="A36" s="206"/>
      <c r="B36" s="207"/>
      <c r="C36" s="207"/>
      <c r="D36" s="144"/>
      <c r="E36" s="208"/>
      <c r="F36" s="208"/>
      <c r="G36" s="209"/>
    </row>
    <row r="37" spans="1:7" ht="14.45" thickBot="1">
      <c r="A37" s="22" t="s">
        <v>42</v>
      </c>
      <c r="B37" s="23"/>
      <c r="C37" s="23"/>
      <c r="D37" s="23"/>
      <c r="E37" s="24" t="s">
        <v>43</v>
      </c>
      <c r="F37" s="23"/>
      <c r="G37" s="73"/>
    </row>
    <row r="38" spans="1:7">
      <c r="A38" s="38" t="s">
        <v>44</v>
      </c>
      <c r="B38" s="39"/>
      <c r="C38" s="198">
        <f>G20</f>
        <v>797</v>
      </c>
      <c r="D38" s="198"/>
      <c r="E38" s="13" t="s">
        <v>45</v>
      </c>
      <c r="F38" s="31"/>
      <c r="G38" s="74"/>
    </row>
    <row r="39" spans="1:7" ht="13.5" thickBot="1">
      <c r="A39" s="40"/>
      <c r="B39" s="41" t="s">
        <v>46</v>
      </c>
      <c r="C39" s="199">
        <f>G30</f>
        <v>103.72</v>
      </c>
      <c r="D39" s="199"/>
      <c r="E39" s="8" t="s">
        <v>47</v>
      </c>
      <c r="F39" s="23"/>
      <c r="G39" s="75"/>
    </row>
    <row r="40" spans="1:7" ht="12.75" customHeight="1">
      <c r="A40" s="200" t="s">
        <v>48</v>
      </c>
      <c r="B40" s="201"/>
      <c r="C40" s="201"/>
      <c r="D40" s="201"/>
      <c r="E40" s="201"/>
      <c r="F40" s="201"/>
      <c r="G40" s="202"/>
    </row>
    <row r="41" spans="1:7" ht="12.75" customHeight="1" thickBot="1">
      <c r="A41" s="203"/>
      <c r="B41" s="204"/>
      <c r="C41" s="204"/>
      <c r="D41" s="204"/>
      <c r="E41" s="204"/>
      <c r="F41" s="204"/>
      <c r="G41" s="205"/>
    </row>
    <row r="42" spans="1:7">
      <c r="A42" s="197" t="s">
        <v>49</v>
      </c>
      <c r="B42" s="197"/>
      <c r="C42" s="197"/>
      <c r="D42" s="197"/>
      <c r="E42" s="197"/>
      <c r="F42" s="197"/>
      <c r="G42" s="197"/>
    </row>
  </sheetData>
  <sheetProtection algorithmName="SHA-512" hashValue="F/1EoZv42OPS1ZMdhuuDR9MLeJ9N1TVoZg9Guz5029fBS0PN/bOOLwXwYNJzIg4gV19XIVVlhvU2Mj1CmB/fPg==" saltValue="vn8o2qNXRO+XLWZgdlUPxw==" spinCount="100000" sheet="1" objects="1" scenarios="1"/>
  <mergeCells count="32">
    <mergeCell ref="A42:G42"/>
    <mergeCell ref="A31:C31"/>
    <mergeCell ref="C38:D38"/>
    <mergeCell ref="C39:D39"/>
    <mergeCell ref="A40:G41"/>
    <mergeCell ref="A36:C36"/>
    <mergeCell ref="E36:G36"/>
    <mergeCell ref="A13:E13"/>
    <mergeCell ref="A26:C26"/>
    <mergeCell ref="A28:F29"/>
    <mergeCell ref="G28:G29"/>
    <mergeCell ref="A11:E11"/>
    <mergeCell ref="A12:E12"/>
    <mergeCell ref="A16:E16"/>
    <mergeCell ref="A14:E14"/>
    <mergeCell ref="A15:E15"/>
    <mergeCell ref="A17:B17"/>
    <mergeCell ref="A18:C18"/>
    <mergeCell ref="A19:C19"/>
    <mergeCell ref="A20:B20"/>
    <mergeCell ref="A25:B25"/>
    <mergeCell ref="A21:B21"/>
    <mergeCell ref="A8:E8"/>
    <mergeCell ref="B3:D3"/>
    <mergeCell ref="F3:G3"/>
    <mergeCell ref="A9:E9"/>
    <mergeCell ref="A10:E10"/>
    <mergeCell ref="A1:G2"/>
    <mergeCell ref="B5:D5"/>
    <mergeCell ref="B4:D4"/>
    <mergeCell ref="F5:G5"/>
    <mergeCell ref="F4:G4"/>
  </mergeCells>
  <dataValidations disablePrompts="1" count="1">
    <dataValidation type="custom" allowBlank="1" showInputMessage="1" showErrorMessage="1" error="Tax Allowance cannot be greater than $300" sqref="G15" xr:uid="{71F10944-865F-4F6E-9BFF-C5F74E4E4D62}">
      <formula1>G15&lt;=300</formula1>
    </dataValidation>
  </dataValidations>
  <pageMargins left="0.68392255892255893" right="0.75" top="0.94696969696969702" bottom="1" header="0.5" footer="0.5"/>
  <pageSetup orientation="portrait" r:id="rId1"/>
  <headerFooter>
    <oddHeader>&amp;L&amp;G&amp;R&amp;"Verdana,Bold"&amp;8Member Payment For Home And Community Based Services
Post Eligibility Treatment Of Income (PETI) Form</oddHeader>
    <oddFooter>&amp;R&amp;"-,Bold"&amp;9Version : 1.0
Effective Date : January 1, 2025</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9" r:id="rId5" name="Option Button 5">
              <controlPr defaultSize="0" autoFill="0" autoLine="0" autoPict="0">
                <anchor moveWithCells="1">
                  <from>
                    <xdr:col>0</xdr:col>
                    <xdr:colOff>19050</xdr:colOff>
                    <xdr:row>0</xdr:row>
                    <xdr:rowOff>12700</xdr:rowOff>
                  </from>
                  <to>
                    <xdr:col>4</xdr:col>
                    <xdr:colOff>152400</xdr:colOff>
                    <xdr:row>2</xdr:row>
                    <xdr:rowOff>69850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73252-49F2-4157-A1D4-1D168A776A9E}">
  <sheetPr codeName="Sheet2"/>
  <dimension ref="A1:N53"/>
  <sheetViews>
    <sheetView view="pageLayout" zoomScale="80" zoomScaleNormal="100" zoomScalePageLayoutView="80" workbookViewId="0">
      <selection activeCell="H9" sqref="H9"/>
    </sheetView>
  </sheetViews>
  <sheetFormatPr defaultColWidth="10.5703125" defaultRowHeight="12.95"/>
  <cols>
    <col min="1" max="1" width="10.28515625" style="61" customWidth="1"/>
    <col min="2" max="2" width="12.42578125" style="5" customWidth="1"/>
    <col min="3" max="3" width="10.5703125" style="5" customWidth="1"/>
    <col min="4" max="5" width="10.5703125" style="5" bestFit="1" customWidth="1"/>
    <col min="6" max="6" width="11.140625" style="5" customWidth="1"/>
    <col min="7" max="7" width="10.5703125" style="5" bestFit="1" customWidth="1"/>
    <col min="8" max="8" width="10.85546875" style="5" bestFit="1" customWidth="1"/>
    <col min="9" max="9" width="12" style="5" customWidth="1"/>
    <col min="10" max="10" width="12.28515625" style="5" customWidth="1"/>
    <col min="11" max="11" width="12.140625" style="5" customWidth="1"/>
    <col min="12" max="12" width="11.140625" style="5" customWidth="1"/>
    <col min="13" max="13" width="9.7109375" style="5" customWidth="1"/>
    <col min="14" max="14" width="11.5703125" style="5" bestFit="1" customWidth="1"/>
    <col min="15" max="16384" width="10.5703125" style="5"/>
  </cols>
  <sheetData>
    <row r="1" spans="1:14" s="51" customFormat="1" ht="39">
      <c r="A1" s="49"/>
      <c r="B1" s="50" t="s">
        <v>50</v>
      </c>
    </row>
    <row r="2" spans="1:14" s="53" customFormat="1" ht="26.1">
      <c r="A2" s="52" t="s">
        <v>51</v>
      </c>
      <c r="B2" s="58">
        <v>0</v>
      </c>
    </row>
    <row r="3" spans="1:14" s="53" customFormat="1">
      <c r="A3" s="54" t="s">
        <v>52</v>
      </c>
      <c r="B3" s="55">
        <v>103.72</v>
      </c>
      <c r="L3" s="56"/>
    </row>
    <row r="4" spans="1:14" s="53" customFormat="1">
      <c r="A4" s="57" t="s">
        <v>53</v>
      </c>
      <c r="B4" s="58">
        <v>2.5000000000000001E-2</v>
      </c>
    </row>
    <row r="5" spans="1:14" s="53" customFormat="1">
      <c r="A5" s="52" t="s">
        <v>54</v>
      </c>
      <c r="B5" s="55">
        <v>967</v>
      </c>
    </row>
    <row r="6" spans="1:14" s="53" customFormat="1" ht="39">
      <c r="A6" s="52" t="s">
        <v>55</v>
      </c>
      <c r="B6" s="55">
        <f>B5*3</f>
        <v>2901</v>
      </c>
    </row>
    <row r="7" spans="1:14" s="53" customFormat="1" ht="26.1">
      <c r="A7" s="52" t="s">
        <v>56</v>
      </c>
      <c r="B7" s="55">
        <v>797</v>
      </c>
    </row>
    <row r="8" spans="1:14">
      <c r="A8" s="153"/>
      <c r="B8" s="152"/>
      <c r="C8" s="152"/>
      <c r="D8" s="62"/>
      <c r="E8" s="152"/>
      <c r="F8" s="152"/>
      <c r="G8" s="62"/>
      <c r="H8" s="152"/>
      <c r="I8" s="152"/>
      <c r="J8" s="152"/>
      <c r="K8" s="152"/>
      <c r="L8" s="152"/>
      <c r="M8" s="152"/>
      <c r="N8" s="152"/>
    </row>
    <row r="9" spans="1:14" ht="13.5" thickBot="1">
      <c r="A9" s="63"/>
      <c r="B9" s="152"/>
      <c r="C9" s="152"/>
      <c r="D9" s="152"/>
      <c r="E9" s="152"/>
      <c r="F9" s="152"/>
      <c r="G9" s="152"/>
      <c r="H9" s="152"/>
      <c r="I9" s="152"/>
      <c r="J9" s="152"/>
      <c r="K9" s="152"/>
      <c r="L9" s="152"/>
      <c r="M9" s="152"/>
      <c r="N9" s="64"/>
    </row>
    <row r="10" spans="1:14" ht="69.75" customHeight="1" thickBot="1">
      <c r="A10" s="153"/>
      <c r="B10" s="143" t="s">
        <v>57</v>
      </c>
      <c r="C10" s="152"/>
      <c r="D10" s="152"/>
      <c r="E10" s="152"/>
      <c r="F10" s="152"/>
      <c r="G10" s="152"/>
      <c r="H10" s="152"/>
      <c r="I10" s="152"/>
      <c r="J10" s="152"/>
      <c r="K10" s="152"/>
      <c r="L10" s="152"/>
      <c r="M10" s="152"/>
      <c r="N10" s="152"/>
    </row>
    <row r="11" spans="1:14" ht="13.5" thickBot="1">
      <c r="A11" s="153"/>
      <c r="B11" s="152"/>
      <c r="C11" s="152"/>
      <c r="D11" s="152"/>
      <c r="E11" s="152"/>
      <c r="F11" s="152"/>
      <c r="G11" s="152"/>
      <c r="H11" s="152"/>
      <c r="I11" s="152"/>
      <c r="J11" s="63"/>
      <c r="K11" s="152"/>
      <c r="L11" s="152"/>
      <c r="M11" s="152"/>
      <c r="N11" s="152"/>
    </row>
    <row r="12" spans="1:14" ht="15" customHeight="1">
      <c r="A12" s="214" t="s">
        <v>58</v>
      </c>
      <c r="B12" s="215"/>
      <c r="C12" s="215"/>
      <c r="D12" s="215"/>
      <c r="E12" s="215"/>
      <c r="F12" s="215"/>
      <c r="G12" s="215"/>
      <c r="H12" s="215"/>
      <c r="I12" s="215"/>
      <c r="J12" s="215"/>
      <c r="K12" s="215"/>
      <c r="L12" s="215"/>
      <c r="M12" s="216"/>
      <c r="N12" s="152"/>
    </row>
    <row r="13" spans="1:14" ht="12.75" customHeight="1">
      <c r="A13" s="212">
        <v>1</v>
      </c>
      <c r="B13" s="217" t="s">
        <v>59</v>
      </c>
      <c r="C13" s="218"/>
      <c r="D13" s="218"/>
      <c r="E13" s="218"/>
      <c r="F13" s="218"/>
      <c r="G13" s="218"/>
      <c r="H13" s="218"/>
      <c r="I13" s="218"/>
      <c r="J13" s="218"/>
      <c r="K13" s="218"/>
      <c r="L13" s="218"/>
      <c r="M13" s="219"/>
      <c r="N13" s="152"/>
    </row>
    <row r="14" spans="1:14">
      <c r="A14" s="212"/>
      <c r="B14" s="220"/>
      <c r="C14" s="221"/>
      <c r="D14" s="221"/>
      <c r="E14" s="221"/>
      <c r="F14" s="221"/>
      <c r="G14" s="221"/>
      <c r="H14" s="221"/>
      <c r="I14" s="221"/>
      <c r="J14" s="221"/>
      <c r="K14" s="221"/>
      <c r="L14" s="221"/>
      <c r="M14" s="222"/>
      <c r="N14" s="152"/>
    </row>
    <row r="15" spans="1:14">
      <c r="A15" s="212"/>
      <c r="B15" s="220"/>
      <c r="C15" s="221"/>
      <c r="D15" s="221"/>
      <c r="E15" s="221"/>
      <c r="F15" s="221"/>
      <c r="G15" s="221"/>
      <c r="H15" s="221"/>
      <c r="I15" s="221"/>
      <c r="J15" s="221"/>
      <c r="K15" s="221"/>
      <c r="L15" s="221"/>
      <c r="M15" s="222"/>
      <c r="N15" s="152"/>
    </row>
    <row r="16" spans="1:14">
      <c r="A16" s="212"/>
      <c r="B16" s="223"/>
      <c r="C16" s="224"/>
      <c r="D16" s="224"/>
      <c r="E16" s="224"/>
      <c r="F16" s="224"/>
      <c r="G16" s="224"/>
      <c r="H16" s="224"/>
      <c r="I16" s="224"/>
      <c r="J16" s="224"/>
      <c r="K16" s="224"/>
      <c r="L16" s="224"/>
      <c r="M16" s="225"/>
      <c r="N16" s="152"/>
    </row>
    <row r="17" spans="1:13" ht="12.75" customHeight="1">
      <c r="A17" s="212">
        <v>2</v>
      </c>
      <c r="B17" s="217" t="s">
        <v>60</v>
      </c>
      <c r="C17" s="218"/>
      <c r="D17" s="218"/>
      <c r="E17" s="218"/>
      <c r="F17" s="218"/>
      <c r="G17" s="218"/>
      <c r="H17" s="218"/>
      <c r="I17" s="218"/>
      <c r="J17" s="218"/>
      <c r="K17" s="218"/>
      <c r="L17" s="218"/>
      <c r="M17" s="219"/>
    </row>
    <row r="18" spans="1:13">
      <c r="A18" s="212"/>
      <c r="B18" s="220"/>
      <c r="C18" s="221"/>
      <c r="D18" s="221"/>
      <c r="E18" s="221"/>
      <c r="F18" s="221"/>
      <c r="G18" s="221"/>
      <c r="H18" s="221"/>
      <c r="I18" s="221"/>
      <c r="J18" s="221"/>
      <c r="K18" s="221"/>
      <c r="L18" s="221"/>
      <c r="M18" s="222"/>
    </row>
    <row r="19" spans="1:13">
      <c r="A19" s="212"/>
      <c r="B19" s="223"/>
      <c r="C19" s="224"/>
      <c r="D19" s="224"/>
      <c r="E19" s="224"/>
      <c r="F19" s="224"/>
      <c r="G19" s="224"/>
      <c r="H19" s="224"/>
      <c r="I19" s="224"/>
      <c r="J19" s="224"/>
      <c r="K19" s="224"/>
      <c r="L19" s="224"/>
      <c r="M19" s="225"/>
    </row>
    <row r="20" spans="1:13" ht="12.75" customHeight="1">
      <c r="A20" s="212">
        <v>3</v>
      </c>
      <c r="B20" s="217" t="s">
        <v>61</v>
      </c>
      <c r="C20" s="218"/>
      <c r="D20" s="218"/>
      <c r="E20" s="218"/>
      <c r="F20" s="218"/>
      <c r="G20" s="218"/>
      <c r="H20" s="218"/>
      <c r="I20" s="218"/>
      <c r="J20" s="218"/>
      <c r="K20" s="218"/>
      <c r="L20" s="218"/>
      <c r="M20" s="219"/>
    </row>
    <row r="21" spans="1:13" ht="15" customHeight="1">
      <c r="A21" s="212"/>
      <c r="B21" s="220"/>
      <c r="C21" s="221"/>
      <c r="D21" s="221"/>
      <c r="E21" s="221"/>
      <c r="F21" s="221"/>
      <c r="G21" s="221"/>
      <c r="H21" s="221"/>
      <c r="I21" s="221"/>
      <c r="J21" s="221"/>
      <c r="K21" s="221"/>
      <c r="L21" s="221"/>
      <c r="M21" s="222"/>
    </row>
    <row r="22" spans="1:13" ht="15" customHeight="1">
      <c r="A22" s="212"/>
      <c r="B22" s="220"/>
      <c r="C22" s="221"/>
      <c r="D22" s="221"/>
      <c r="E22" s="221"/>
      <c r="F22" s="221"/>
      <c r="G22" s="221"/>
      <c r="H22" s="221"/>
      <c r="I22" s="221"/>
      <c r="J22" s="221"/>
      <c r="K22" s="221"/>
      <c r="L22" s="221"/>
      <c r="M22" s="222"/>
    </row>
    <row r="23" spans="1:13" ht="23.45" customHeight="1" thickBot="1">
      <c r="A23" s="213"/>
      <c r="B23" s="226"/>
      <c r="C23" s="227"/>
      <c r="D23" s="227"/>
      <c r="E23" s="227"/>
      <c r="F23" s="227"/>
      <c r="G23" s="227"/>
      <c r="H23" s="227"/>
      <c r="I23" s="227"/>
      <c r="J23" s="227"/>
      <c r="K23" s="227"/>
      <c r="L23" s="227"/>
      <c r="M23" s="228"/>
    </row>
    <row r="24" spans="1:13" ht="14.1" customHeight="1" thickBot="1">
      <c r="A24" s="210" t="s">
        <v>62</v>
      </c>
      <c r="B24" s="211"/>
      <c r="C24" s="211"/>
      <c r="D24" s="211"/>
      <c r="E24" s="211"/>
      <c r="F24" s="211"/>
      <c r="G24" s="211"/>
      <c r="H24" s="211"/>
      <c r="I24" s="211"/>
      <c r="J24" s="211"/>
      <c r="K24" s="211"/>
      <c r="L24" s="211"/>
      <c r="M24" s="140"/>
    </row>
    <row r="25" spans="1:13" ht="26.1">
      <c r="A25" s="99" t="s">
        <v>63</v>
      </c>
      <c r="B25" s="100" t="s">
        <v>64</v>
      </c>
      <c r="C25" s="101" t="s">
        <v>65</v>
      </c>
      <c r="D25" s="79" t="s">
        <v>64</v>
      </c>
      <c r="E25" s="101" t="s">
        <v>66</v>
      </c>
      <c r="F25" s="79" t="s">
        <v>64</v>
      </c>
      <c r="G25" s="101" t="s">
        <v>67</v>
      </c>
      <c r="H25" s="79" t="s">
        <v>64</v>
      </c>
      <c r="I25" s="101" t="s">
        <v>68</v>
      </c>
      <c r="J25" s="79" t="s">
        <v>64</v>
      </c>
      <c r="K25" s="101" t="s">
        <v>69</v>
      </c>
      <c r="L25" s="102" t="s">
        <v>64</v>
      </c>
      <c r="M25" s="152"/>
    </row>
    <row r="26" spans="1:13">
      <c r="A26" s="104">
        <v>0</v>
      </c>
      <c r="B26" s="105" t="s">
        <v>53</v>
      </c>
      <c r="C26" s="106">
        <v>0</v>
      </c>
      <c r="D26" s="107" t="s">
        <v>53</v>
      </c>
      <c r="E26" s="106">
        <v>8.2600000000000007E-2</v>
      </c>
      <c r="F26" s="106" t="s">
        <v>53</v>
      </c>
      <c r="G26" s="106">
        <v>0.02</v>
      </c>
      <c r="H26" s="106">
        <v>0</v>
      </c>
      <c r="I26" s="106">
        <v>5.0000000000000001E-3</v>
      </c>
      <c r="J26" s="108">
        <v>0</v>
      </c>
      <c r="K26" s="108">
        <v>0</v>
      </c>
      <c r="L26" s="109">
        <v>0</v>
      </c>
      <c r="M26" s="152"/>
    </row>
    <row r="27" spans="1:13">
      <c r="A27" s="111">
        <v>46.14</v>
      </c>
      <c r="B27" s="112">
        <v>39447</v>
      </c>
      <c r="C27" s="113">
        <v>46.14</v>
      </c>
      <c r="D27" s="114">
        <v>39813</v>
      </c>
      <c r="E27" s="115">
        <f>ROUND((C27*E26)+C27,2)</f>
        <v>49.95</v>
      </c>
      <c r="F27" s="116">
        <v>40178</v>
      </c>
      <c r="G27" s="115">
        <v>50.949000000000005</v>
      </c>
      <c r="H27" s="115">
        <v>50.949000000000005</v>
      </c>
      <c r="I27" s="115">
        <f>IF(I26=0,(H27),(H27*(1+I26)))</f>
        <v>51.203744999999998</v>
      </c>
      <c r="J27" s="117">
        <v>51.2</v>
      </c>
      <c r="K27" s="117">
        <v>51.2</v>
      </c>
      <c r="L27" s="118">
        <v>51.2</v>
      </c>
      <c r="M27" s="152"/>
    </row>
    <row r="28" spans="1:13">
      <c r="A28" s="120"/>
      <c r="B28" s="121">
        <v>3.5999999999999997E-2</v>
      </c>
      <c r="C28" s="122">
        <v>0</v>
      </c>
      <c r="D28" s="122">
        <v>1.7000000000000001E-2</v>
      </c>
      <c r="E28" s="123">
        <v>0</v>
      </c>
      <c r="F28" s="123">
        <v>1.4999999999999999E-2</v>
      </c>
      <c r="G28" s="123">
        <v>0</v>
      </c>
      <c r="H28" s="123">
        <v>1.7000000000000001E-2</v>
      </c>
      <c r="I28" s="123">
        <v>0</v>
      </c>
      <c r="J28" s="108">
        <v>0</v>
      </c>
      <c r="K28" s="108">
        <v>0</v>
      </c>
      <c r="L28" s="109">
        <v>0</v>
      </c>
      <c r="M28" s="152"/>
    </row>
    <row r="29" spans="1:13">
      <c r="A29" s="111">
        <v>674</v>
      </c>
      <c r="B29" s="124">
        <f>ROUND((A29*B28)+A29,0)</f>
        <v>698</v>
      </c>
      <c r="C29" s="113">
        <f>(B29*0%)+B29</f>
        <v>698</v>
      </c>
      <c r="D29" s="113">
        <f>ROUND((C29*D28)+C29,0)</f>
        <v>710</v>
      </c>
      <c r="E29" s="115">
        <f>ROUND((D29*E28)+D29,0)</f>
        <v>710</v>
      </c>
      <c r="F29" s="115">
        <f>ROUND((D29*F28)+D29,0)</f>
        <v>721</v>
      </c>
      <c r="G29" s="115">
        <v>721</v>
      </c>
      <c r="H29" s="115">
        <v>733</v>
      </c>
      <c r="I29" s="115">
        <f>H29</f>
        <v>733</v>
      </c>
      <c r="J29" s="117">
        <v>733</v>
      </c>
      <c r="K29" s="117">
        <v>733</v>
      </c>
      <c r="L29" s="118">
        <v>733</v>
      </c>
      <c r="M29" s="152"/>
    </row>
    <row r="30" spans="1:13">
      <c r="A30" s="125">
        <f>A29*300%</f>
        <v>2022</v>
      </c>
      <c r="B30" s="126">
        <f>B29*300%</f>
        <v>2094</v>
      </c>
      <c r="C30" s="127">
        <f>C29*300%</f>
        <v>2094</v>
      </c>
      <c r="D30" s="127">
        <f>D29*300%</f>
        <v>2130</v>
      </c>
      <c r="E30" s="127">
        <f>E29*300%</f>
        <v>2130</v>
      </c>
      <c r="F30" s="127">
        <f t="shared" ref="F30" si="0">F29*300%</f>
        <v>2163</v>
      </c>
      <c r="G30" s="127">
        <v>2163</v>
      </c>
      <c r="H30" s="127">
        <v>2199</v>
      </c>
      <c r="I30" s="127">
        <f>I29*300%</f>
        <v>2199</v>
      </c>
      <c r="J30" s="117">
        <v>2199</v>
      </c>
      <c r="K30" s="117">
        <v>2199</v>
      </c>
      <c r="L30" s="118">
        <v>2199</v>
      </c>
      <c r="M30" s="152"/>
    </row>
    <row r="31" spans="1:13">
      <c r="A31" s="111">
        <v>618</v>
      </c>
      <c r="B31" s="126">
        <v>618</v>
      </c>
      <c r="C31" s="127">
        <f>ROUND((A31*B28)+A31,0)</f>
        <v>640</v>
      </c>
      <c r="D31" s="127">
        <f>ROUND((C31*D28)+C25:C31,0)</f>
        <v>651</v>
      </c>
      <c r="E31" s="127">
        <f>ROUND((D31*E28)+D25:D31,0)</f>
        <v>651</v>
      </c>
      <c r="F31" s="127">
        <f>ROUND((E31*F32)+E31,0)</f>
        <v>661</v>
      </c>
      <c r="G31" s="127">
        <v>661</v>
      </c>
      <c r="H31" s="127">
        <v>675</v>
      </c>
      <c r="I31" s="127">
        <v>675</v>
      </c>
      <c r="J31" s="117">
        <v>675</v>
      </c>
      <c r="K31" s="117">
        <v>675</v>
      </c>
      <c r="L31" s="118">
        <v>675</v>
      </c>
      <c r="M31" s="152"/>
    </row>
    <row r="32" spans="1:13">
      <c r="A32" s="128">
        <v>0</v>
      </c>
      <c r="B32" s="129">
        <v>0</v>
      </c>
      <c r="C32" s="106">
        <v>3.5999999999999997E-2</v>
      </c>
      <c r="D32" s="106">
        <v>1.7000000000000001E-2</v>
      </c>
      <c r="E32" s="107">
        <v>0</v>
      </c>
      <c r="F32" s="130">
        <v>1.4999999999999999E-2</v>
      </c>
      <c r="G32" s="130">
        <v>1.47E-2</v>
      </c>
      <c r="H32" s="130">
        <v>1.5800000000000002E-2</v>
      </c>
      <c r="I32" s="106">
        <v>0</v>
      </c>
      <c r="J32" s="108">
        <v>0</v>
      </c>
      <c r="K32" s="108">
        <v>0</v>
      </c>
      <c r="L32" s="109">
        <v>0</v>
      </c>
      <c r="M32" s="152"/>
    </row>
    <row r="33" spans="1:12" ht="13.5" thickBot="1">
      <c r="A33" s="131">
        <v>699</v>
      </c>
      <c r="B33" s="132">
        <v>699</v>
      </c>
      <c r="C33" s="133">
        <f>ROUNDUP((A33*C32)+A33,0)</f>
        <v>725</v>
      </c>
      <c r="D33" s="134">
        <f>ROUND((C33*D32)+C33,0)</f>
        <v>737</v>
      </c>
      <c r="E33" s="135">
        <f>ROUND((D33*E32)+D33,0)</f>
        <v>737</v>
      </c>
      <c r="F33" s="135">
        <f>ROUND((D33*F32)+D33,0)</f>
        <v>748</v>
      </c>
      <c r="G33" s="135">
        <v>759</v>
      </c>
      <c r="H33" s="135">
        <v>771</v>
      </c>
      <c r="I33" s="135">
        <f>ROUND((I29-G29)+G33,0)</f>
        <v>771</v>
      </c>
      <c r="J33" s="136">
        <v>771</v>
      </c>
      <c r="K33" s="136">
        <v>771</v>
      </c>
      <c r="L33" s="137">
        <v>771</v>
      </c>
    </row>
    <row r="34" spans="1:12" ht="13.5" thickBot="1">
      <c r="A34" s="153"/>
      <c r="B34" s="152"/>
      <c r="C34" s="152"/>
      <c r="D34" s="152"/>
      <c r="E34" s="152"/>
      <c r="F34" s="152"/>
      <c r="G34" s="152"/>
      <c r="H34" s="152"/>
      <c r="I34" s="152"/>
      <c r="J34" s="152"/>
      <c r="K34" s="152"/>
      <c r="L34" s="152"/>
    </row>
    <row r="35" spans="1:12" ht="26.1">
      <c r="A35" s="49"/>
      <c r="B35" s="103" t="s">
        <v>70</v>
      </c>
      <c r="C35" s="83" t="s">
        <v>64</v>
      </c>
      <c r="D35" s="101" t="s">
        <v>71</v>
      </c>
      <c r="E35" s="79" t="s">
        <v>64</v>
      </c>
      <c r="F35" s="101" t="s">
        <v>72</v>
      </c>
      <c r="G35" s="79" t="s">
        <v>64</v>
      </c>
      <c r="H35" s="79" t="s">
        <v>73</v>
      </c>
      <c r="I35" s="80" t="s">
        <v>74</v>
      </c>
      <c r="J35" s="79" t="s">
        <v>64</v>
      </c>
      <c r="K35" s="80" t="s">
        <v>75</v>
      </c>
      <c r="L35" s="101" t="s">
        <v>76</v>
      </c>
    </row>
    <row r="36" spans="1:12" ht="26.1">
      <c r="A36" s="52" t="s">
        <v>51</v>
      </c>
      <c r="B36" s="110">
        <v>0</v>
      </c>
      <c r="C36" s="84">
        <v>1.4019999999999999E-2</v>
      </c>
      <c r="D36" s="84">
        <v>0.25</v>
      </c>
      <c r="E36" s="108">
        <v>0</v>
      </c>
      <c r="F36" s="108">
        <v>0.01</v>
      </c>
      <c r="G36" s="108">
        <v>0</v>
      </c>
      <c r="H36" s="84">
        <v>0.08</v>
      </c>
      <c r="I36" s="85">
        <v>-0.01</v>
      </c>
      <c r="J36" s="86">
        <v>0</v>
      </c>
      <c r="K36" s="87">
        <v>0</v>
      </c>
      <c r="L36" s="88">
        <v>2.5000000000000001E-2</v>
      </c>
    </row>
    <row r="37" spans="1:12">
      <c r="A37" s="54" t="s">
        <v>52</v>
      </c>
      <c r="B37" s="119">
        <v>51.2</v>
      </c>
      <c r="C37" s="89">
        <v>51.92</v>
      </c>
      <c r="D37" s="89">
        <v>64.900000000000006</v>
      </c>
      <c r="E37" s="117">
        <v>64.900000000000006</v>
      </c>
      <c r="F37" s="127">
        <v>65.55</v>
      </c>
      <c r="G37" s="117">
        <v>65.55</v>
      </c>
      <c r="H37" s="89">
        <v>70.790000000000006</v>
      </c>
      <c r="I37" s="90">
        <v>64.89</v>
      </c>
      <c r="J37" s="91">
        <v>70.08</v>
      </c>
      <c r="K37" s="92">
        <v>64.89</v>
      </c>
      <c r="L37" s="93">
        <v>66.510000000000005</v>
      </c>
    </row>
    <row r="38" spans="1:12">
      <c r="A38" s="57" t="s">
        <v>53</v>
      </c>
      <c r="B38" s="110">
        <v>3.0000000000000001E-3</v>
      </c>
      <c r="C38" s="84">
        <v>0.02</v>
      </c>
      <c r="D38" s="84">
        <v>0</v>
      </c>
      <c r="E38" s="108">
        <v>2.8000000000000001E-2</v>
      </c>
      <c r="F38" s="108">
        <v>0</v>
      </c>
      <c r="G38" s="108">
        <v>1.6E-2</v>
      </c>
      <c r="H38" s="84">
        <v>0</v>
      </c>
      <c r="I38" s="85">
        <v>0</v>
      </c>
      <c r="J38" s="86">
        <v>0</v>
      </c>
      <c r="K38" s="87">
        <v>0</v>
      </c>
      <c r="L38" s="88">
        <v>0</v>
      </c>
    </row>
    <row r="39" spans="1:12">
      <c r="A39" s="52" t="s">
        <v>54</v>
      </c>
      <c r="B39" s="119">
        <v>735</v>
      </c>
      <c r="C39" s="89">
        <f>ROUND(B39*(1+C38), 0)</f>
        <v>750</v>
      </c>
      <c r="D39" s="89">
        <v>750</v>
      </c>
      <c r="E39" s="89">
        <f>ROUND(D39*(1+E38), 0)</f>
        <v>771</v>
      </c>
      <c r="F39" s="117">
        <v>771</v>
      </c>
      <c r="G39" s="117">
        <v>783</v>
      </c>
      <c r="H39" s="89">
        <v>783</v>
      </c>
      <c r="I39" s="90">
        <v>783</v>
      </c>
      <c r="J39" s="91">
        <v>794</v>
      </c>
      <c r="K39" s="92">
        <v>794</v>
      </c>
      <c r="L39" s="93">
        <v>794</v>
      </c>
    </row>
    <row r="40" spans="1:12" ht="39">
      <c r="A40" s="52" t="s">
        <v>55</v>
      </c>
      <c r="B40" s="119">
        <v>2205</v>
      </c>
      <c r="C40" s="89">
        <f>C39*300%</f>
        <v>2250</v>
      </c>
      <c r="D40" s="89">
        <v>2250</v>
      </c>
      <c r="E40" s="89">
        <f>E39*300%</f>
        <v>2313</v>
      </c>
      <c r="F40" s="117">
        <v>2313</v>
      </c>
      <c r="G40" s="117">
        <f>G39*300%</f>
        <v>2349</v>
      </c>
      <c r="H40" s="89">
        <f>H39*300%</f>
        <v>2349</v>
      </c>
      <c r="I40" s="90">
        <f>I39*300%</f>
        <v>2349</v>
      </c>
      <c r="J40" s="91">
        <v>2349</v>
      </c>
      <c r="K40" s="92">
        <v>2349</v>
      </c>
      <c r="L40" s="93">
        <v>2349</v>
      </c>
    </row>
    <row r="41" spans="1:12" ht="26.1">
      <c r="A41" s="52" t="s">
        <v>56</v>
      </c>
      <c r="B41" s="119">
        <f>ROUND((L31*B42)+L31,0)</f>
        <v>677</v>
      </c>
      <c r="C41" s="89">
        <f>B41+15</f>
        <v>692</v>
      </c>
      <c r="D41" s="89">
        <v>692</v>
      </c>
      <c r="E41" s="117">
        <v>695</v>
      </c>
      <c r="F41" s="117">
        <v>695</v>
      </c>
      <c r="G41" s="89">
        <v>700</v>
      </c>
      <c r="H41" s="89">
        <v>700</v>
      </c>
      <c r="I41" s="90">
        <v>700</v>
      </c>
      <c r="J41" s="91">
        <v>700</v>
      </c>
      <c r="K41" s="92">
        <v>700</v>
      </c>
      <c r="L41" s="93">
        <v>700</v>
      </c>
    </row>
    <row r="42" spans="1:12" ht="26.1">
      <c r="A42" s="52" t="s">
        <v>77</v>
      </c>
      <c r="B42" s="110">
        <v>3.0000000000000001E-3</v>
      </c>
      <c r="C42" s="84">
        <v>0.02</v>
      </c>
      <c r="D42" s="84">
        <v>0</v>
      </c>
      <c r="E42" s="108">
        <v>2.6649746192893401E-2</v>
      </c>
      <c r="F42" s="108">
        <v>0</v>
      </c>
      <c r="G42" s="84">
        <f>SUM(G43-F43)/F43</f>
        <v>1.4833127317676144E-2</v>
      </c>
      <c r="H42" s="84">
        <v>0</v>
      </c>
      <c r="I42" s="85">
        <f>SUM(I43-H43)/H43</f>
        <v>0</v>
      </c>
      <c r="J42" s="84">
        <f>SUM(J43-I43)/I43</f>
        <v>1.3398294762484775E-2</v>
      </c>
      <c r="K42" s="87">
        <v>0</v>
      </c>
      <c r="L42" s="88">
        <v>0</v>
      </c>
    </row>
    <row r="43" spans="1:12" ht="26.45" thickBot="1">
      <c r="A43" s="59" t="s">
        <v>78</v>
      </c>
      <c r="B43" s="138">
        <v>773</v>
      </c>
      <c r="C43" s="94">
        <v>788</v>
      </c>
      <c r="D43" s="94">
        <v>788</v>
      </c>
      <c r="E43" s="94">
        <f>ROUND(D43*(1+E42), 0)</f>
        <v>809</v>
      </c>
      <c r="F43" s="136">
        <v>809</v>
      </c>
      <c r="G43" s="94">
        <v>821</v>
      </c>
      <c r="H43" s="94">
        <v>821</v>
      </c>
      <c r="I43" s="95">
        <v>821</v>
      </c>
      <c r="J43" s="96">
        <v>832</v>
      </c>
      <c r="K43" s="97">
        <v>832</v>
      </c>
      <c r="L43" s="98">
        <v>832</v>
      </c>
    </row>
    <row r="44" spans="1:12" ht="13.5" thickBot="1">
      <c r="A44" s="153"/>
      <c r="B44" s="152"/>
      <c r="C44" s="152"/>
      <c r="D44" s="152"/>
      <c r="E44" s="152"/>
      <c r="F44" s="152"/>
      <c r="G44" s="152"/>
      <c r="H44" s="152"/>
      <c r="I44" s="152"/>
      <c r="J44" s="152"/>
      <c r="K44" s="152"/>
      <c r="L44" s="152"/>
    </row>
    <row r="45" spans="1:12" ht="39">
      <c r="A45" s="49"/>
      <c r="B45" s="82" t="s">
        <v>79</v>
      </c>
      <c r="C45" s="83" t="s">
        <v>80</v>
      </c>
      <c r="D45" s="81" t="s">
        <v>81</v>
      </c>
      <c r="E45" s="50" t="s">
        <v>82</v>
      </c>
      <c r="F45" s="50" t="s">
        <v>83</v>
      </c>
      <c r="G45" s="50" t="s">
        <v>50</v>
      </c>
      <c r="H45" s="50" t="s">
        <v>84</v>
      </c>
      <c r="I45" s="152"/>
      <c r="J45" s="152"/>
      <c r="K45" s="152"/>
      <c r="L45" s="152"/>
    </row>
    <row r="46" spans="1:12" ht="26.1">
      <c r="A46" s="52" t="s">
        <v>51</v>
      </c>
      <c r="B46" s="87">
        <v>0</v>
      </c>
      <c r="C46" s="88">
        <f>SUM(C47-B47)/B47</f>
        <v>0.3375432265824686</v>
      </c>
      <c r="D46" s="87">
        <v>0.02</v>
      </c>
      <c r="E46" s="58">
        <v>0</v>
      </c>
      <c r="F46" s="58">
        <v>6.5131143927705651E-2</v>
      </c>
      <c r="G46" s="58">
        <v>0</v>
      </c>
      <c r="H46" s="58">
        <f>H47/G47-1</f>
        <v>7.3150543197102902E-2</v>
      </c>
      <c r="I46" s="152"/>
      <c r="J46" s="152"/>
      <c r="K46" s="152"/>
      <c r="L46" s="152"/>
    </row>
    <row r="47" spans="1:12">
      <c r="A47" s="54" t="s">
        <v>52</v>
      </c>
      <c r="B47" s="92">
        <v>66.510000000000005</v>
      </c>
      <c r="C47" s="93">
        <v>88.96</v>
      </c>
      <c r="D47" s="92">
        <v>90.74</v>
      </c>
      <c r="E47" s="55">
        <v>90.74</v>
      </c>
      <c r="F47" s="55">
        <v>96.65</v>
      </c>
      <c r="G47" s="55">
        <v>96.65</v>
      </c>
      <c r="H47" s="55">
        <v>103.72</v>
      </c>
      <c r="I47" s="152"/>
      <c r="J47" s="152"/>
      <c r="K47" s="152"/>
      <c r="L47" s="152"/>
    </row>
    <row r="48" spans="1:12">
      <c r="A48" s="57" t="s">
        <v>53</v>
      </c>
      <c r="B48" s="87">
        <v>5.8999999999999997E-2</v>
      </c>
      <c r="C48" s="88">
        <v>0</v>
      </c>
      <c r="D48" s="87">
        <v>0</v>
      </c>
      <c r="E48" s="58">
        <v>8.6999999999999994E-2</v>
      </c>
      <c r="F48" s="58">
        <v>0</v>
      </c>
      <c r="G48" s="58">
        <v>3.2000000000000001E-2</v>
      </c>
      <c r="H48" s="58">
        <v>0</v>
      </c>
      <c r="I48" s="152"/>
      <c r="J48" s="152"/>
      <c r="K48" s="152"/>
      <c r="L48" s="152"/>
    </row>
    <row r="49" spans="1:8">
      <c r="A49" s="52" t="s">
        <v>54</v>
      </c>
      <c r="B49" s="92">
        <v>841</v>
      </c>
      <c r="C49" s="93">
        <v>841</v>
      </c>
      <c r="D49" s="92">
        <v>841</v>
      </c>
      <c r="E49" s="55">
        <v>914.69</v>
      </c>
      <c r="F49" s="55">
        <v>914.69</v>
      </c>
      <c r="G49" s="55">
        <v>943</v>
      </c>
      <c r="H49" s="55">
        <v>943</v>
      </c>
    </row>
    <row r="50" spans="1:8" ht="39">
      <c r="A50" s="52" t="s">
        <v>55</v>
      </c>
      <c r="B50" s="92">
        <v>2523</v>
      </c>
      <c r="C50" s="93">
        <v>2523</v>
      </c>
      <c r="D50" s="92">
        <v>2523</v>
      </c>
      <c r="E50" s="55">
        <f>E49*3</f>
        <v>2744.07</v>
      </c>
      <c r="F50" s="55">
        <v>2744.07</v>
      </c>
      <c r="G50" s="55">
        <f>G49*3</f>
        <v>2829</v>
      </c>
      <c r="H50" s="55">
        <f>H49*3</f>
        <v>2829</v>
      </c>
    </row>
    <row r="51" spans="1:8" ht="26.1">
      <c r="A51" s="52" t="s">
        <v>56</v>
      </c>
      <c r="B51" s="92">
        <v>720</v>
      </c>
      <c r="C51" s="93">
        <v>720</v>
      </c>
      <c r="D51" s="92">
        <v>720</v>
      </c>
      <c r="E51" s="55">
        <v>755</v>
      </c>
      <c r="F51" s="55">
        <v>755</v>
      </c>
      <c r="G51" s="55">
        <v>779</v>
      </c>
      <c r="H51" s="55">
        <v>779</v>
      </c>
    </row>
    <row r="52" spans="1:8" ht="26.1">
      <c r="A52" s="52" t="s">
        <v>77</v>
      </c>
      <c r="B52" s="87">
        <v>5.8999999999999997E-2</v>
      </c>
      <c r="C52" s="88">
        <v>0</v>
      </c>
      <c r="D52" s="87">
        <v>0</v>
      </c>
      <c r="E52" s="58">
        <f>SUM(E53-D53)/D53</f>
        <v>8.3048919226393625E-2</v>
      </c>
      <c r="F52" s="148">
        <v>0</v>
      </c>
      <c r="G52" s="150"/>
      <c r="H52" s="150"/>
    </row>
    <row r="53" spans="1:8" ht="26.45" thickBot="1">
      <c r="A53" s="59" t="s">
        <v>78</v>
      </c>
      <c r="B53" s="97">
        <v>879</v>
      </c>
      <c r="C53" s="98">
        <v>879</v>
      </c>
      <c r="D53" s="97">
        <v>879</v>
      </c>
      <c r="E53" s="60">
        <v>952</v>
      </c>
      <c r="F53" s="149">
        <v>952</v>
      </c>
      <c r="G53" s="151"/>
      <c r="H53" s="151"/>
    </row>
  </sheetData>
  <mergeCells count="8">
    <mergeCell ref="A24:L24"/>
    <mergeCell ref="A13:A16"/>
    <mergeCell ref="A17:A19"/>
    <mergeCell ref="A20:A23"/>
    <mergeCell ref="A12:M12"/>
    <mergeCell ref="B13:M16"/>
    <mergeCell ref="B17:M19"/>
    <mergeCell ref="B20:M23"/>
  </mergeCells>
  <pageMargins left="0.7" right="0.7" top="0.75" bottom="0.75" header="0.3" footer="0.3"/>
  <pageSetup scale="80" orientation="landscape" r:id="rId1"/>
  <headerFooter>
    <oddHeader xml:space="preserve">&amp;C&amp;"Times New Roman,Bold"&amp;16ACF PETI KEY 
&amp;"Times New Roman,Regular"&amp;10(RATE, SSI, COLA, Room and Board&amp;"Times New Roman,Bold")
</oddHead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A383D07DCF1A4A9B22D7FC098ADAD1" ma:contentTypeVersion="31" ma:contentTypeDescription="Create a new document." ma:contentTypeScope="" ma:versionID="e99f811c4244cae47e4d42a0244bc3ae">
  <xsd:schema xmlns:xsd="http://www.w3.org/2001/XMLSchema" xmlns:xs="http://www.w3.org/2001/XMLSchema" xmlns:p="http://schemas.microsoft.com/office/2006/metadata/properties" xmlns:ns2="88bf42df-5a11-40b7-843f-dde3ea0d9320" xmlns:ns3="205bb03d-a2a2-49e0-822d-095c7bd4e585" xmlns:ns4="9755b1d7-a9b7-4be3-8953-f0f9bbbba515" targetNamespace="http://schemas.microsoft.com/office/2006/metadata/properties" ma:root="true" ma:fieldsID="2cd8ce54332c9cba14ba911a496a63e8" ns2:_="" ns3:_="" ns4:_="">
    <xsd:import namespace="88bf42df-5a11-40b7-843f-dde3ea0d9320"/>
    <xsd:import namespace="205bb03d-a2a2-49e0-822d-095c7bd4e585"/>
    <xsd:import namespace="9755b1d7-a9b7-4be3-8953-f0f9bbbba515"/>
    <xsd:element name="properties">
      <xsd:complexType>
        <xsd:sequence>
          <xsd:element name="documentManagement">
            <xsd:complexType>
              <xsd:all>
                <xsd:element ref="ns3:SharedWithUsers" minOccurs="0"/>
                <xsd:element ref="ns3:SharingHintHash" minOccurs="0"/>
                <xsd:element ref="ns4:SharedWithDetails" minOccurs="0"/>
                <xsd:element ref="ns4:LastSharedByUser" minOccurs="0"/>
                <xsd:element ref="ns4:LastSharedByTime"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eClearance_x0020__x002d__x0020_2013"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bf42df-5a11-40b7-843f-dde3ea0d9320" elementFormDefault="qualified">
    <xsd:import namespace="http://schemas.microsoft.com/office/2006/documentManagement/types"/>
    <xsd:import namespace="http://schemas.microsoft.com/office/infopath/2007/PartnerControls"/>
    <xsd:element name="MediaServiceMetadata" ma:index="16" nillable="true" ma:displayName="MediaServiceMetadata" ma:description="" ma:hidden="true" ma:internalName="MediaServiceMetadata" ma:readOnly="true">
      <xsd:simpleType>
        <xsd:restriction base="dms:Note"/>
      </xsd:simpleType>
    </xsd:element>
    <xsd:element name="MediaServiceFastMetadata" ma:index="17" nillable="true" ma:displayName="MediaServiceFastMetadata" ma:description="" ma:hidden="true" ma:internalName="MediaServiceFastMetadata" ma:readOnly="true">
      <xsd:simpleType>
        <xsd:restriction base="dms:Note"/>
      </xsd:simpleType>
    </xsd:element>
    <xsd:element name="MediaServiceDateTaken" ma:index="18" nillable="true" ma:displayName="MediaServiceDateTaken" ma:description="" ma:hidden="true" ma:internalName="MediaServiceDateTaken" ma:readOnly="true">
      <xsd:simpleType>
        <xsd:restriction base="dms:Text"/>
      </xsd:simpleType>
    </xsd:element>
    <xsd:element name="MediaServiceAutoTags" ma:index="19" nillable="true" ma:displayName="MediaServiceAutoTags" ma:internalName="MediaServiceAutoTags" ma:readOnly="true">
      <xsd:simpleType>
        <xsd:restriction base="dms:Text"/>
      </xsd:simpleType>
    </xsd:element>
    <xsd:element name="MediaServiceOCR" ma:index="21" nillable="true" ma:displayName="MediaServiceOCR" ma:internalName="MediaServiceOCR" ma:readOnly="true">
      <xsd:simpleType>
        <xsd:restriction base="dms:Note">
          <xsd:maxLength value="255"/>
        </xsd:restriction>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Location" ma:index="24" nillable="true" ma:displayName="Location" ma:internalName="MediaServiceLocation" ma:readOnly="true">
      <xsd:simpleType>
        <xsd:restriction base="dms:Text"/>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eClearance_x0020__x002d__x0020_2013" ma:index="28" nillable="true" ma:displayName="eClearance - 2013" ma:internalName="eClearance_x0020__x002d__x0020_2013">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9" nillable="true" ma:displayName="MediaLengthInSeconds" ma:hidden="true"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00ad1e36-3292-4be9-a1e7-e63c408760a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5bb03d-a2a2-49e0-822d-095c7bd4e5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Sharing Hint Hash"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55b1d7-a9b7-4be3-8953-f0f9bbbba515" elementFormDefault="qualified">
    <xsd:import namespace="http://schemas.microsoft.com/office/2006/documentManagement/types"/>
    <xsd:import namespace="http://schemas.microsoft.com/office/infopath/2007/PartnerControls"/>
    <xsd:element name="SharedWithDetails" ma:index="13" nillable="true" ma:displayName="Shared With Details" ma:internalName="SharedWithDetails" ma:readOnly="true">
      <xsd:simpleType>
        <xsd:restriction base="dms:Note">
          <xsd:maxLength value="255"/>
        </xsd:restriction>
      </xsd:simpleType>
    </xsd:element>
    <xsd:element name="LastSharedByUser" ma:index="14" nillable="true" ma:displayName="Last Shared By User" ma:description="" ma:internalName="LastSharedByUser" ma:readOnly="true">
      <xsd:simpleType>
        <xsd:restriction base="dms:Note">
          <xsd:maxLength value="255"/>
        </xsd:restriction>
      </xsd:simpleType>
    </xsd:element>
    <xsd:element name="LastSharedByTime" ma:index="15" nillable="true" ma:displayName="Last Shared By Time" ma:description="" ma:internalName="LastSharedByTime" ma:readOnly="true">
      <xsd:simpleType>
        <xsd:restriction base="dms:DateTime"/>
      </xsd:simpleType>
    </xsd:element>
    <xsd:element name="TaxCatchAll" ma:index="32" nillable="true" ma:displayName="Taxonomy Catch All Column" ma:hidden="true" ma:list="{049bfdc5-8783-49eb-9830-a7055166c6d7}" ma:internalName="TaxCatchAll" ma:showField="CatchAllData" ma:web="9755b1d7-a9b7-4be3-8953-f0f9bbbba5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755b1d7-a9b7-4be3-8953-f0f9bbbba515" xsi:nil="true"/>
    <lcf76f155ced4ddcb4097134ff3c332f xmlns="88bf42df-5a11-40b7-843f-dde3ea0d9320">
      <Terms xmlns="http://schemas.microsoft.com/office/infopath/2007/PartnerControls"/>
    </lcf76f155ced4ddcb4097134ff3c332f>
    <eClearance_x0020__x002d__x0020_2013 xmlns="88bf42df-5a11-40b7-843f-dde3ea0d9320">
      <Url>https://cohcpf.sharepoint.com/eClearance/_layouts/15/wrkstat.aspx?List=88bf42df-5a11-40b7-843f-dde3ea0d9320&amp;WorkflowInstanceName=dd6ca1ac-8104-4556-b4b6-3b3e31e1e9aa</Url>
      <Description>Stop</Description>
    </eClearance_x0020__x002d__x0020_2013>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C5D3C0-86C0-4D27-BCD4-57AC49BC558A}"/>
</file>

<file path=customXml/itemProps2.xml><?xml version="1.0" encoding="utf-8"?>
<ds:datastoreItem xmlns:ds="http://schemas.openxmlformats.org/officeDocument/2006/customXml" ds:itemID="{1FD5A230-5A83-4EE0-9165-F76341D96F7B}"/>
</file>

<file path=customXml/itemProps3.xml><?xml version="1.0" encoding="utf-8"?>
<ds:datastoreItem xmlns:ds="http://schemas.openxmlformats.org/officeDocument/2006/customXml" ds:itemID="{84C0B957-CFE2-459E-AE8E-003781280FA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Austin, Miles</dc:creator>
  <cp:keywords/>
  <dc:description/>
  <cp:lastModifiedBy>Rodgers, Victoria</cp:lastModifiedBy>
  <cp:revision/>
  <dcterms:created xsi:type="dcterms:W3CDTF">2023-06-09T16:36:15Z</dcterms:created>
  <dcterms:modified xsi:type="dcterms:W3CDTF">2024-12-05T16:44:53Z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0x010100F2A383D07DCF1A4A9B22D7FC098ADAD1</vt:lpwstr>
  </property>
  <property fmtid="{D5CDD505-2E9C-101B-9397-08002B2CF9AE}" pid="3" name="MediaServiceImageTags">
    <vt:lpwstr/>
  </property>
</Properties>
</file>