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PYMTRFRM\Hospitals\RATES\Inpatient Hospital Rates\Rates FY26\30-day Reviews\2nd 30-day Review Data Inputs\After e-clearance 4.22.25\"/>
    </mc:Choice>
  </mc:AlternateContent>
  <xr:revisionPtr revIDLastSave="0" documentId="13_ncr:1_{41876811-6707-454E-9E12-12852FB7496C}" xr6:coauthVersionLast="47" xr6:coauthVersionMax="47" xr10:uidLastSave="{00000000-0000-0000-0000-000000000000}"/>
  <bookViews>
    <workbookView xWindow="-120" yWindow="-120" windowWidth="29040" windowHeight="17520" tabRatio="940" xr2:uid="{C7528DA4-C30C-4899-9845-402D990A40D8}"/>
  </bookViews>
  <sheets>
    <sheet name="IP Base Rate Sources &amp; Methods" sheetId="40" r:id="rId1"/>
    <sheet name="Process for GME-IME Review" sheetId="73" r:id="rId2"/>
    <sheet name="GME Add-On Posting" sheetId="74" r:id="rId3"/>
    <sheet name="Non-PPS IME Add-On Posting" sheetId="75" r:id="rId4"/>
    <sheet name="Process for CMS Data Review" sheetId="76" r:id="rId5"/>
    <sheet name="Fed Bs Rt+IME+GME+VBP+RAA+HAC" sheetId="11" r:id="rId6"/>
    <sheet name="FY25 IMPACT FILE IFC-OTHER TBLS" sheetId="33" r:id="rId7"/>
    <sheet name="FY 2025 IFC Table 1A-1E" sheetId="52" r:id="rId8"/>
    <sheet name="IMPACT FILE Variable Descriptio" sheetId="34" r:id="rId9"/>
    <sheet name="Process for Add-on Reviews" sheetId="77" r:id="rId10"/>
    <sheet name="Characteristics" sheetId="5" r:id="rId11"/>
    <sheet name="Solvency Metric FY25-26" sheetId="64" r:id="rId12"/>
    <sheet name="Discharge 3 yr avg FY25-26" sheetId="63" r:id="rId13"/>
    <sheet name="Payer Mix 3 yr avg FY25-26" sheetId="61" r:id="rId14"/>
  </sheets>
  <externalReferences>
    <externalReference r:id="rId15"/>
  </externalReferences>
  <definedNames>
    <definedName name="_xlnm._FilterDatabase" localSheetId="10" hidden="1">Characteristics!$A$1:$K$87</definedName>
    <definedName name="_xlnm._FilterDatabase" localSheetId="5" hidden="1">'Fed Bs Rt+IME+GME+VBP+RAA+HAC'!$A$4:$AG$102</definedName>
    <definedName name="_xlnm._FilterDatabase" localSheetId="6" hidden="1">'FY25 IMPACT FILE IFC-OTHER TBLS'!$A$2:$BN$53</definedName>
    <definedName name="_Hlk109323845" localSheetId="8">'IMPACT FILE Variable Descriptio'!#REF!</definedName>
    <definedName name="_Hlk99444638" localSheetId="8">'IMPACT FILE Variable Descriptio'!#REF!</definedName>
    <definedName name="TitleRegion1.A3.B2983.1">[1]!Table15_FR25[[#Headers],[Hospital CMS Certification Number (CCN)]]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0" i="11" l="1"/>
  <c r="Q85" i="61"/>
  <c r="R85" i="61"/>
  <c r="S85" i="61"/>
  <c r="S8" i="61"/>
  <c r="R8" i="61"/>
  <c r="Q8" i="61"/>
  <c r="P26" i="61"/>
  <c r="F23" i="5" s="1"/>
  <c r="G3" i="5"/>
  <c r="H3" i="5"/>
  <c r="G4" i="5"/>
  <c r="H4" i="5"/>
  <c r="G5" i="5"/>
  <c r="H5" i="5"/>
  <c r="G6" i="5"/>
  <c r="H6" i="5"/>
  <c r="G7" i="5"/>
  <c r="H7" i="5"/>
  <c r="G8" i="5"/>
  <c r="H8" i="5"/>
  <c r="G9" i="5"/>
  <c r="H9" i="5"/>
  <c r="G10" i="5"/>
  <c r="H10" i="5"/>
  <c r="G11" i="5"/>
  <c r="H11" i="5"/>
  <c r="G12" i="5"/>
  <c r="H12" i="5"/>
  <c r="G13" i="5"/>
  <c r="H13" i="5"/>
  <c r="G14" i="5"/>
  <c r="H14" i="5"/>
  <c r="G15" i="5"/>
  <c r="H15" i="5"/>
  <c r="G16" i="5"/>
  <c r="H16" i="5"/>
  <c r="G17" i="5"/>
  <c r="H17" i="5"/>
  <c r="G18" i="5"/>
  <c r="H18" i="5"/>
  <c r="G19" i="5"/>
  <c r="H19" i="5"/>
  <c r="G20" i="5"/>
  <c r="H20" i="5"/>
  <c r="G21" i="5"/>
  <c r="H21" i="5"/>
  <c r="G22" i="5"/>
  <c r="H22" i="5"/>
  <c r="G23" i="5"/>
  <c r="H23" i="5"/>
  <c r="G24" i="5"/>
  <c r="H24" i="5"/>
  <c r="G25" i="5"/>
  <c r="H25" i="5"/>
  <c r="G26" i="5"/>
  <c r="H26" i="5"/>
  <c r="G27" i="5"/>
  <c r="H27" i="5"/>
  <c r="G28" i="5"/>
  <c r="H28" i="5"/>
  <c r="G29" i="5"/>
  <c r="H29" i="5"/>
  <c r="G30" i="5"/>
  <c r="H30" i="5"/>
  <c r="G31" i="5"/>
  <c r="H31" i="5"/>
  <c r="G32" i="5"/>
  <c r="H32" i="5"/>
  <c r="G33" i="5"/>
  <c r="H33" i="5"/>
  <c r="G34" i="5"/>
  <c r="H34" i="5"/>
  <c r="G35" i="5"/>
  <c r="H35" i="5"/>
  <c r="G36" i="5"/>
  <c r="H36" i="5"/>
  <c r="G37" i="5"/>
  <c r="H37" i="5"/>
  <c r="G38" i="5"/>
  <c r="H38" i="5"/>
  <c r="G39" i="5"/>
  <c r="H39" i="5"/>
  <c r="G40" i="5"/>
  <c r="H40" i="5"/>
  <c r="G41" i="5"/>
  <c r="H41" i="5"/>
  <c r="G42" i="5"/>
  <c r="H42" i="5"/>
  <c r="G43" i="5"/>
  <c r="H43" i="5"/>
  <c r="G44" i="5"/>
  <c r="H44" i="5"/>
  <c r="G45" i="5"/>
  <c r="H45" i="5"/>
  <c r="G46" i="5"/>
  <c r="H46" i="5"/>
  <c r="G47" i="5"/>
  <c r="H47" i="5"/>
  <c r="G48" i="5"/>
  <c r="H48" i="5"/>
  <c r="G49" i="5"/>
  <c r="H49" i="5"/>
  <c r="G50" i="5"/>
  <c r="H50" i="5"/>
  <c r="G51" i="5"/>
  <c r="H51" i="5"/>
  <c r="G52" i="5"/>
  <c r="H52" i="5"/>
  <c r="G53" i="5"/>
  <c r="H53" i="5"/>
  <c r="G54" i="5"/>
  <c r="H54" i="5"/>
  <c r="G55" i="5"/>
  <c r="H55" i="5"/>
  <c r="G56" i="5"/>
  <c r="H56" i="5"/>
  <c r="G57" i="5"/>
  <c r="H57" i="5"/>
  <c r="G58" i="5"/>
  <c r="H58" i="5"/>
  <c r="G59" i="5"/>
  <c r="H59" i="5"/>
  <c r="G60" i="5"/>
  <c r="H60" i="5"/>
  <c r="G61" i="5"/>
  <c r="H61" i="5"/>
  <c r="G62" i="5"/>
  <c r="H62" i="5"/>
  <c r="G63" i="5"/>
  <c r="H63" i="5"/>
  <c r="G64" i="5"/>
  <c r="H64" i="5"/>
  <c r="G65" i="5"/>
  <c r="H65" i="5"/>
  <c r="G66" i="5"/>
  <c r="H66" i="5"/>
  <c r="G67" i="5"/>
  <c r="H67" i="5"/>
  <c r="G68" i="5"/>
  <c r="H68" i="5"/>
  <c r="G69" i="5"/>
  <c r="H69" i="5"/>
  <c r="G70" i="5"/>
  <c r="H70" i="5"/>
  <c r="G71" i="5"/>
  <c r="H71" i="5"/>
  <c r="G72" i="5"/>
  <c r="H72" i="5"/>
  <c r="G73" i="5"/>
  <c r="H73" i="5"/>
  <c r="G74" i="5"/>
  <c r="H74" i="5"/>
  <c r="G75" i="5"/>
  <c r="H75" i="5"/>
  <c r="G76" i="5"/>
  <c r="H76" i="5"/>
  <c r="G77" i="5"/>
  <c r="H77" i="5"/>
  <c r="G78" i="5"/>
  <c r="H78" i="5"/>
  <c r="G79" i="5"/>
  <c r="H79" i="5"/>
  <c r="G80" i="5"/>
  <c r="H80" i="5"/>
  <c r="G81" i="5"/>
  <c r="H81" i="5"/>
  <c r="G82" i="5"/>
  <c r="H82" i="5"/>
  <c r="G83" i="5"/>
  <c r="H83" i="5"/>
  <c r="G84" i="5"/>
  <c r="H84" i="5"/>
  <c r="G85" i="5"/>
  <c r="H85" i="5"/>
  <c r="G86" i="5"/>
  <c r="H86" i="5"/>
  <c r="H2" i="5"/>
  <c r="G2" i="5"/>
  <c r="K88" i="63"/>
  <c r="J88" i="63"/>
  <c r="K87" i="63"/>
  <c r="J87" i="63"/>
  <c r="K86" i="63"/>
  <c r="J86" i="63"/>
  <c r="K85" i="63"/>
  <c r="J85" i="63"/>
  <c r="L84" i="63"/>
  <c r="K84" i="63"/>
  <c r="J84" i="63"/>
  <c r="K83" i="63"/>
  <c r="J83" i="63"/>
  <c r="K82" i="63"/>
  <c r="J82" i="63"/>
  <c r="K81" i="63"/>
  <c r="J81" i="63"/>
  <c r="K80" i="63"/>
  <c r="J80" i="63"/>
  <c r="K79" i="63"/>
  <c r="J79" i="63"/>
  <c r="K78" i="63"/>
  <c r="J78" i="63"/>
  <c r="K77" i="63"/>
  <c r="J77" i="63"/>
  <c r="K76" i="63"/>
  <c r="J76" i="63"/>
  <c r="K75" i="63"/>
  <c r="J75" i="63"/>
  <c r="K74" i="63"/>
  <c r="J74" i="63"/>
  <c r="K73" i="63"/>
  <c r="J73" i="63"/>
  <c r="K72" i="63"/>
  <c r="J72" i="63"/>
  <c r="K71" i="63"/>
  <c r="J71" i="63"/>
  <c r="K70" i="63"/>
  <c r="J70" i="63"/>
  <c r="K69" i="63"/>
  <c r="J69" i="63"/>
  <c r="K68" i="63"/>
  <c r="J68" i="63"/>
  <c r="K67" i="63"/>
  <c r="J67" i="63"/>
  <c r="K66" i="63"/>
  <c r="J66" i="63"/>
  <c r="K65" i="63"/>
  <c r="J65" i="63"/>
  <c r="K64" i="63"/>
  <c r="J64" i="63"/>
  <c r="K63" i="63"/>
  <c r="J63" i="63"/>
  <c r="K62" i="63"/>
  <c r="J62" i="63"/>
  <c r="K61" i="63"/>
  <c r="J61" i="63"/>
  <c r="K60" i="63"/>
  <c r="J60" i="63"/>
  <c r="K59" i="63"/>
  <c r="J59" i="63"/>
  <c r="K58" i="63"/>
  <c r="J58" i="63"/>
  <c r="K57" i="63"/>
  <c r="J57" i="63"/>
  <c r="K56" i="63"/>
  <c r="J56" i="63"/>
  <c r="K55" i="63"/>
  <c r="J55" i="63"/>
  <c r="K53" i="63"/>
  <c r="J53" i="63"/>
  <c r="K52" i="63"/>
  <c r="J52" i="63"/>
  <c r="K51" i="63"/>
  <c r="J51" i="63"/>
  <c r="K50" i="63"/>
  <c r="J50" i="63"/>
  <c r="K49" i="63"/>
  <c r="J49" i="63"/>
  <c r="K48" i="63"/>
  <c r="J48" i="63"/>
  <c r="K47" i="63"/>
  <c r="J47" i="63"/>
  <c r="K46" i="63"/>
  <c r="J46" i="63"/>
  <c r="K45" i="63"/>
  <c r="J45" i="63"/>
  <c r="K44" i="63"/>
  <c r="J44" i="63"/>
  <c r="K43" i="63"/>
  <c r="J43" i="63"/>
  <c r="K42" i="63"/>
  <c r="J42" i="63"/>
  <c r="K41" i="63"/>
  <c r="J41" i="63"/>
  <c r="K40" i="63"/>
  <c r="J40" i="63"/>
  <c r="K39" i="63"/>
  <c r="J39" i="63"/>
  <c r="K38" i="63"/>
  <c r="J38" i="63"/>
  <c r="K37" i="63"/>
  <c r="J37" i="63"/>
  <c r="K36" i="63"/>
  <c r="J36" i="63"/>
  <c r="K35" i="63"/>
  <c r="J35" i="63"/>
  <c r="K34" i="63"/>
  <c r="J34" i="63"/>
  <c r="K33" i="63"/>
  <c r="J33" i="63"/>
  <c r="K32" i="63"/>
  <c r="J32" i="63"/>
  <c r="K31" i="63"/>
  <c r="J31" i="63"/>
  <c r="K30" i="63"/>
  <c r="J30" i="63"/>
  <c r="K29" i="63"/>
  <c r="J29" i="63"/>
  <c r="K28" i="63"/>
  <c r="J28" i="63"/>
  <c r="K27" i="63"/>
  <c r="J27" i="63"/>
  <c r="K26" i="63"/>
  <c r="K25" i="63"/>
  <c r="J25" i="63"/>
  <c r="K24" i="63"/>
  <c r="J24" i="63"/>
  <c r="K23" i="63"/>
  <c r="J23" i="63"/>
  <c r="K22" i="63"/>
  <c r="J22" i="63"/>
  <c r="K21" i="63"/>
  <c r="J21" i="63"/>
  <c r="K20" i="63"/>
  <c r="J20" i="63"/>
  <c r="K19" i="63"/>
  <c r="J19" i="63"/>
  <c r="K18" i="63"/>
  <c r="J18" i="63"/>
  <c r="K17" i="63"/>
  <c r="J17" i="63"/>
  <c r="K16" i="63"/>
  <c r="J16" i="63"/>
  <c r="K15" i="63"/>
  <c r="J15" i="63"/>
  <c r="K14" i="63"/>
  <c r="J14" i="63"/>
  <c r="K13" i="63"/>
  <c r="J13" i="63"/>
  <c r="K12" i="63"/>
  <c r="J12" i="63"/>
  <c r="K11" i="63"/>
  <c r="J11" i="63"/>
  <c r="K10" i="63"/>
  <c r="J10" i="63"/>
  <c r="K9" i="63"/>
  <c r="J9" i="63"/>
  <c r="K8" i="63"/>
  <c r="J8" i="63"/>
  <c r="L7" i="63"/>
  <c r="K7" i="63"/>
  <c r="J7" i="63"/>
  <c r="K6" i="63"/>
  <c r="J6" i="63"/>
  <c r="K5" i="63"/>
  <c r="J5" i="63"/>
  <c r="K4" i="63"/>
  <c r="J4" i="63"/>
  <c r="E3" i="5"/>
  <c r="F3" i="5"/>
  <c r="E4" i="5"/>
  <c r="F4" i="5"/>
  <c r="E5" i="5"/>
  <c r="F5" i="5"/>
  <c r="E6" i="5"/>
  <c r="F6" i="5"/>
  <c r="E7" i="5"/>
  <c r="F7" i="5"/>
  <c r="E8" i="5"/>
  <c r="F8" i="5"/>
  <c r="E9" i="5"/>
  <c r="F9" i="5"/>
  <c r="E10" i="5"/>
  <c r="F10" i="5"/>
  <c r="E11" i="5"/>
  <c r="F11" i="5"/>
  <c r="E12" i="5"/>
  <c r="F12" i="5"/>
  <c r="E13" i="5"/>
  <c r="F13" i="5"/>
  <c r="E14" i="5"/>
  <c r="F14" i="5"/>
  <c r="E15" i="5"/>
  <c r="F15" i="5"/>
  <c r="E16" i="5"/>
  <c r="F16" i="5"/>
  <c r="E17" i="5"/>
  <c r="F17" i="5"/>
  <c r="E18" i="5"/>
  <c r="F18" i="5"/>
  <c r="E19" i="5"/>
  <c r="F19" i="5"/>
  <c r="E20" i="5"/>
  <c r="F20" i="5"/>
  <c r="E21" i="5"/>
  <c r="F21" i="5"/>
  <c r="E22" i="5"/>
  <c r="F22" i="5"/>
  <c r="E23" i="5"/>
  <c r="E24" i="5"/>
  <c r="F24" i="5"/>
  <c r="E25" i="5"/>
  <c r="F25" i="5"/>
  <c r="E26" i="5"/>
  <c r="F26" i="5"/>
  <c r="E27" i="5"/>
  <c r="F27" i="5"/>
  <c r="E28" i="5"/>
  <c r="F28" i="5"/>
  <c r="E29" i="5"/>
  <c r="F29" i="5"/>
  <c r="E30" i="5"/>
  <c r="F30" i="5"/>
  <c r="E31" i="5"/>
  <c r="F31" i="5"/>
  <c r="E32" i="5"/>
  <c r="F32" i="5"/>
  <c r="E33" i="5"/>
  <c r="F33" i="5"/>
  <c r="E34" i="5"/>
  <c r="F34" i="5"/>
  <c r="E35" i="5"/>
  <c r="F35" i="5"/>
  <c r="E36" i="5"/>
  <c r="F36" i="5"/>
  <c r="E37" i="5"/>
  <c r="F37" i="5"/>
  <c r="E38" i="5"/>
  <c r="F38" i="5"/>
  <c r="E39" i="5"/>
  <c r="F39" i="5"/>
  <c r="E40" i="5"/>
  <c r="F40" i="5"/>
  <c r="E41" i="5"/>
  <c r="F41" i="5"/>
  <c r="E42" i="5"/>
  <c r="F42" i="5"/>
  <c r="E43" i="5"/>
  <c r="F43" i="5"/>
  <c r="E44" i="5"/>
  <c r="F44" i="5"/>
  <c r="E45" i="5"/>
  <c r="F45" i="5"/>
  <c r="E46" i="5"/>
  <c r="F46" i="5"/>
  <c r="E47" i="5"/>
  <c r="F47" i="5"/>
  <c r="E48" i="5"/>
  <c r="F48" i="5"/>
  <c r="E49" i="5"/>
  <c r="F49" i="5"/>
  <c r="E50" i="5"/>
  <c r="F50" i="5"/>
  <c r="E51" i="5"/>
  <c r="F51" i="5"/>
  <c r="E52" i="5"/>
  <c r="F52" i="5"/>
  <c r="E53" i="5"/>
  <c r="F53" i="5"/>
  <c r="E54" i="5"/>
  <c r="F54" i="5"/>
  <c r="E55" i="5"/>
  <c r="F55" i="5"/>
  <c r="E56" i="5"/>
  <c r="F56" i="5"/>
  <c r="E57" i="5"/>
  <c r="F57" i="5"/>
  <c r="E58" i="5"/>
  <c r="F58" i="5"/>
  <c r="E59" i="5"/>
  <c r="F59" i="5"/>
  <c r="E60" i="5"/>
  <c r="F60" i="5"/>
  <c r="E61" i="5"/>
  <c r="F61" i="5"/>
  <c r="E62" i="5"/>
  <c r="F62" i="5"/>
  <c r="E63" i="5"/>
  <c r="F63" i="5"/>
  <c r="E64" i="5"/>
  <c r="F64" i="5"/>
  <c r="E65" i="5"/>
  <c r="F65" i="5"/>
  <c r="E66" i="5"/>
  <c r="F66" i="5"/>
  <c r="E67" i="5"/>
  <c r="F67" i="5"/>
  <c r="E68" i="5"/>
  <c r="F68" i="5"/>
  <c r="E69" i="5"/>
  <c r="F69" i="5"/>
  <c r="E70" i="5"/>
  <c r="F70" i="5"/>
  <c r="E71" i="5"/>
  <c r="F71" i="5"/>
  <c r="E72" i="5"/>
  <c r="F72" i="5"/>
  <c r="E73" i="5"/>
  <c r="F73" i="5"/>
  <c r="E74" i="5"/>
  <c r="F74" i="5"/>
  <c r="E75" i="5"/>
  <c r="F75" i="5"/>
  <c r="E76" i="5"/>
  <c r="F76" i="5"/>
  <c r="E77" i="5"/>
  <c r="F77" i="5"/>
  <c r="E78" i="5"/>
  <c r="F78" i="5"/>
  <c r="E79" i="5"/>
  <c r="F79" i="5"/>
  <c r="E80" i="5"/>
  <c r="F80" i="5"/>
  <c r="E81" i="5"/>
  <c r="F81" i="5"/>
  <c r="E82" i="5"/>
  <c r="F82" i="5"/>
  <c r="E83" i="5"/>
  <c r="F83" i="5"/>
  <c r="E84" i="5"/>
  <c r="F84" i="5"/>
  <c r="E85" i="5"/>
  <c r="F85" i="5"/>
  <c r="E86" i="5"/>
  <c r="F86" i="5"/>
  <c r="F2" i="5"/>
  <c r="E2" i="5"/>
  <c r="P89" i="61"/>
  <c r="O89" i="61"/>
  <c r="P88" i="61"/>
  <c r="O88" i="61"/>
  <c r="P87" i="61"/>
  <c r="O87" i="61"/>
  <c r="P86" i="61"/>
  <c r="O86" i="61"/>
  <c r="P85" i="61"/>
  <c r="O85" i="61"/>
  <c r="P84" i="61"/>
  <c r="O84" i="61"/>
  <c r="P83" i="61"/>
  <c r="O83" i="61"/>
  <c r="P82" i="61"/>
  <c r="O82" i="61"/>
  <c r="P81" i="61"/>
  <c r="O81" i="61"/>
  <c r="P80" i="61"/>
  <c r="O80" i="61"/>
  <c r="P79" i="61"/>
  <c r="O79" i="61"/>
  <c r="P78" i="61"/>
  <c r="O78" i="61"/>
  <c r="P77" i="61"/>
  <c r="O77" i="61"/>
  <c r="P76" i="61"/>
  <c r="O76" i="61"/>
  <c r="P75" i="61"/>
  <c r="O75" i="61"/>
  <c r="P74" i="61"/>
  <c r="O74" i="61"/>
  <c r="P73" i="61"/>
  <c r="O73" i="61"/>
  <c r="P72" i="61"/>
  <c r="O72" i="61"/>
  <c r="P71" i="61"/>
  <c r="O71" i="61"/>
  <c r="P70" i="61"/>
  <c r="O70" i="61"/>
  <c r="P69" i="61"/>
  <c r="O69" i="61"/>
  <c r="P68" i="61"/>
  <c r="O68" i="61"/>
  <c r="P67" i="61"/>
  <c r="O67" i="61"/>
  <c r="P66" i="61"/>
  <c r="O66" i="61"/>
  <c r="P65" i="61"/>
  <c r="O65" i="61"/>
  <c r="P64" i="61"/>
  <c r="O64" i="61"/>
  <c r="P63" i="61"/>
  <c r="O63" i="61"/>
  <c r="P62" i="61"/>
  <c r="O62" i="61"/>
  <c r="P61" i="61"/>
  <c r="O61" i="61"/>
  <c r="P60" i="61"/>
  <c r="O60" i="61"/>
  <c r="P59" i="61"/>
  <c r="O59" i="61"/>
  <c r="P58" i="61"/>
  <c r="O58" i="61"/>
  <c r="P57" i="61"/>
  <c r="O57" i="61"/>
  <c r="P56" i="61"/>
  <c r="O56" i="61"/>
  <c r="P54" i="61"/>
  <c r="O54" i="61"/>
  <c r="P53" i="61"/>
  <c r="O53" i="61"/>
  <c r="P52" i="61"/>
  <c r="O52" i="61"/>
  <c r="P51" i="61"/>
  <c r="O51" i="61"/>
  <c r="P50" i="61"/>
  <c r="O50" i="61"/>
  <c r="P49" i="61"/>
  <c r="O49" i="61"/>
  <c r="P48" i="61"/>
  <c r="O48" i="61"/>
  <c r="P47" i="61"/>
  <c r="O47" i="61"/>
  <c r="P46" i="61"/>
  <c r="O46" i="61"/>
  <c r="P45" i="61"/>
  <c r="O45" i="61"/>
  <c r="P44" i="61"/>
  <c r="O44" i="61"/>
  <c r="P43" i="61"/>
  <c r="O43" i="61"/>
  <c r="P42" i="61"/>
  <c r="O42" i="61"/>
  <c r="P41" i="61"/>
  <c r="O41" i="61"/>
  <c r="P40" i="61"/>
  <c r="O40" i="61"/>
  <c r="P39" i="61"/>
  <c r="O39" i="61"/>
  <c r="P38" i="61"/>
  <c r="O38" i="61"/>
  <c r="P37" i="61"/>
  <c r="O37" i="61"/>
  <c r="P36" i="61"/>
  <c r="O36" i="61"/>
  <c r="P35" i="61"/>
  <c r="O35" i="61"/>
  <c r="P34" i="61"/>
  <c r="O34" i="61"/>
  <c r="P33" i="61"/>
  <c r="O33" i="61"/>
  <c r="P32" i="61"/>
  <c r="O32" i="61"/>
  <c r="P31" i="61"/>
  <c r="O31" i="61"/>
  <c r="P30" i="61"/>
  <c r="O30" i="61"/>
  <c r="P29" i="61"/>
  <c r="O29" i="61"/>
  <c r="P28" i="61"/>
  <c r="O28" i="61"/>
  <c r="P27" i="61"/>
  <c r="O26" i="61"/>
  <c r="P25" i="61"/>
  <c r="O25" i="61"/>
  <c r="P24" i="61"/>
  <c r="O24" i="61"/>
  <c r="P23" i="61"/>
  <c r="O23" i="61"/>
  <c r="P22" i="61"/>
  <c r="O22" i="61"/>
  <c r="P21" i="61"/>
  <c r="O21" i="61"/>
  <c r="P20" i="61"/>
  <c r="O20" i="61"/>
  <c r="P19" i="61"/>
  <c r="O19" i="61"/>
  <c r="P18" i="61"/>
  <c r="O18" i="61"/>
  <c r="P17" i="61"/>
  <c r="O17" i="61"/>
  <c r="P16" i="61"/>
  <c r="O16" i="61"/>
  <c r="P15" i="61"/>
  <c r="O15" i="61"/>
  <c r="P14" i="61"/>
  <c r="O14" i="61"/>
  <c r="P13" i="61"/>
  <c r="O13" i="61"/>
  <c r="P12" i="61"/>
  <c r="O12" i="61"/>
  <c r="P11" i="61"/>
  <c r="O11" i="61"/>
  <c r="P10" i="61"/>
  <c r="O10" i="61"/>
  <c r="P9" i="61"/>
  <c r="O9" i="61"/>
  <c r="P8" i="61"/>
  <c r="O8" i="61"/>
  <c r="P7" i="61"/>
  <c r="O7" i="61"/>
  <c r="P6" i="61"/>
  <c r="O6" i="61"/>
  <c r="P5" i="61"/>
  <c r="O5" i="61"/>
  <c r="AA9" i="11"/>
  <c r="AA10" i="11"/>
  <c r="U89" i="11" l="1"/>
  <c r="U88" i="11"/>
  <c r="U87" i="11"/>
  <c r="U86" i="11"/>
  <c r="U85" i="11"/>
  <c r="U84" i="11"/>
  <c r="U83" i="11"/>
  <c r="U82" i="11"/>
  <c r="U81" i="11"/>
  <c r="U80" i="11"/>
  <c r="U79" i="11"/>
  <c r="U78" i="11"/>
  <c r="U77" i="11"/>
  <c r="U76" i="11"/>
  <c r="U75" i="11"/>
  <c r="U74" i="11"/>
  <c r="U73" i="11"/>
  <c r="U72" i="11"/>
  <c r="U71" i="11"/>
  <c r="U70" i="11"/>
  <c r="U69" i="11"/>
  <c r="U68" i="11"/>
  <c r="U67" i="11"/>
  <c r="U66" i="11"/>
  <c r="U65" i="11"/>
  <c r="U64" i="11"/>
  <c r="U63" i="11"/>
  <c r="U62" i="11"/>
  <c r="U61" i="11"/>
  <c r="U60" i="11"/>
  <c r="U59" i="11"/>
  <c r="U58" i="11"/>
  <c r="U57" i="11"/>
  <c r="U56" i="11"/>
  <c r="U54" i="11"/>
  <c r="U53" i="11"/>
  <c r="U52" i="11"/>
  <c r="U51" i="11"/>
  <c r="U50" i="11"/>
  <c r="U49" i="11"/>
  <c r="U48" i="11"/>
  <c r="U47" i="11"/>
  <c r="U46" i="11"/>
  <c r="U45" i="11"/>
  <c r="U44" i="11"/>
  <c r="U43" i="11"/>
  <c r="U42" i="11"/>
  <c r="U41" i="11"/>
  <c r="U40" i="11"/>
  <c r="U39" i="11"/>
  <c r="U38" i="11"/>
  <c r="U37" i="11"/>
  <c r="U36" i="11"/>
  <c r="U35" i="11"/>
  <c r="U34" i="11"/>
  <c r="U33" i="11"/>
  <c r="U32" i="11"/>
  <c r="U31" i="11"/>
  <c r="U30" i="11"/>
  <c r="U29" i="11"/>
  <c r="U28" i="11"/>
  <c r="U27" i="11"/>
  <c r="U26" i="11"/>
  <c r="U25" i="11"/>
  <c r="U24" i="11"/>
  <c r="U23" i="11"/>
  <c r="U22" i="11"/>
  <c r="U21" i="11"/>
  <c r="U19" i="11"/>
  <c r="U18" i="11"/>
  <c r="U17" i="11"/>
  <c r="U16" i="11"/>
  <c r="U15" i="11"/>
  <c r="U14" i="11"/>
  <c r="U13" i="11"/>
  <c r="U6" i="11"/>
  <c r="U7" i="11"/>
  <c r="U8" i="11"/>
  <c r="U9" i="11"/>
  <c r="U10" i="11"/>
  <c r="U11" i="11"/>
  <c r="U5" i="11"/>
  <c r="B9" i="74"/>
  <c r="C9" i="74"/>
  <c r="B10" i="74"/>
  <c r="C10" i="74"/>
  <c r="B11" i="74"/>
  <c r="C11" i="74"/>
  <c r="B12" i="74"/>
  <c r="C12" i="74"/>
  <c r="B13" i="74"/>
  <c r="C13" i="74"/>
  <c r="B14" i="74"/>
  <c r="C14" i="74"/>
  <c r="B15" i="74"/>
  <c r="C15" i="74"/>
  <c r="B16" i="74"/>
  <c r="C16" i="74"/>
  <c r="B17" i="74"/>
  <c r="C17" i="74"/>
  <c r="B18" i="74"/>
  <c r="C18" i="74"/>
  <c r="B19" i="74"/>
  <c r="C19" i="74"/>
  <c r="B20" i="74"/>
  <c r="C20" i="74"/>
  <c r="B21" i="74"/>
  <c r="C21" i="74"/>
  <c r="B22" i="74"/>
  <c r="C22" i="74"/>
  <c r="B23" i="74"/>
  <c r="C23" i="74"/>
  <c r="B24" i="74"/>
  <c r="C24" i="74"/>
  <c r="B25" i="74"/>
  <c r="C25" i="74"/>
  <c r="B26" i="74"/>
  <c r="C26" i="74"/>
  <c r="B27" i="74"/>
  <c r="C27" i="74"/>
  <c r="B28" i="74"/>
  <c r="C28" i="74"/>
  <c r="B29" i="74"/>
  <c r="B30" i="74"/>
  <c r="C30" i="74"/>
  <c r="C8" i="74"/>
  <c r="B8" i="74"/>
  <c r="P9" i="75"/>
  <c r="O9" i="75"/>
  <c r="Q9" i="75" s="1"/>
  <c r="R9" i="75" s="1"/>
  <c r="S9" i="75" s="1"/>
  <c r="U9" i="75" s="1"/>
  <c r="J9" i="75"/>
  <c r="K9" i="75" s="1"/>
  <c r="M9" i="75" s="1"/>
  <c r="P8" i="75"/>
  <c r="O8" i="75"/>
  <c r="Q8" i="75" s="1"/>
  <c r="R8" i="75" s="1"/>
  <c r="S8" i="75" s="1"/>
  <c r="U8" i="75" s="1"/>
  <c r="J8" i="75"/>
  <c r="K8" i="75" s="1"/>
  <c r="M8" i="75" s="1"/>
  <c r="W8" i="75" s="1"/>
  <c r="U30" i="74"/>
  <c r="L30" i="74"/>
  <c r="M30" i="74" s="1"/>
  <c r="N30" i="74" s="1"/>
  <c r="P30" i="74" s="1"/>
  <c r="Q30" i="74" s="1"/>
  <c r="U29" i="74"/>
  <c r="L29" i="74"/>
  <c r="M29" i="74" s="1"/>
  <c r="N29" i="74" s="1"/>
  <c r="P29" i="74" s="1"/>
  <c r="Q29" i="74" s="1"/>
  <c r="U28" i="74"/>
  <c r="L28" i="74"/>
  <c r="M28" i="74" s="1"/>
  <c r="N28" i="74" s="1"/>
  <c r="P28" i="74" s="1"/>
  <c r="Q28" i="74" s="1"/>
  <c r="U27" i="74"/>
  <c r="L27" i="74"/>
  <c r="M27" i="74" s="1"/>
  <c r="N27" i="74" s="1"/>
  <c r="P27" i="74" s="1"/>
  <c r="Q27" i="74" s="1"/>
  <c r="U26" i="74"/>
  <c r="L26" i="74"/>
  <c r="M26" i="74" s="1"/>
  <c r="N26" i="74" s="1"/>
  <c r="P26" i="74" s="1"/>
  <c r="Q26" i="74" s="1"/>
  <c r="U25" i="74"/>
  <c r="L25" i="74"/>
  <c r="M25" i="74" s="1"/>
  <c r="N25" i="74" s="1"/>
  <c r="P25" i="74" s="1"/>
  <c r="Q25" i="74" s="1"/>
  <c r="U24" i="74"/>
  <c r="L24" i="74"/>
  <c r="M24" i="74" s="1"/>
  <c r="N24" i="74" s="1"/>
  <c r="P24" i="74" s="1"/>
  <c r="Q24" i="74" s="1"/>
  <c r="U23" i="74"/>
  <c r="L23" i="74"/>
  <c r="M23" i="74" s="1"/>
  <c r="N23" i="74" s="1"/>
  <c r="P23" i="74" s="1"/>
  <c r="Q23" i="74" s="1"/>
  <c r="U22" i="74"/>
  <c r="L22" i="74"/>
  <c r="M22" i="74" s="1"/>
  <c r="N22" i="74" s="1"/>
  <c r="P22" i="74" s="1"/>
  <c r="Q22" i="74" s="1"/>
  <c r="U21" i="74"/>
  <c r="L21" i="74"/>
  <c r="M21" i="74" s="1"/>
  <c r="N21" i="74" s="1"/>
  <c r="P21" i="74" s="1"/>
  <c r="Q21" i="74" s="1"/>
  <c r="U20" i="74"/>
  <c r="L20" i="74"/>
  <c r="M20" i="74" s="1"/>
  <c r="N20" i="74" s="1"/>
  <c r="P20" i="74" s="1"/>
  <c r="Q20" i="74" s="1"/>
  <c r="U19" i="74"/>
  <c r="L19" i="74"/>
  <c r="M19" i="74" s="1"/>
  <c r="N19" i="74" s="1"/>
  <c r="P19" i="74" s="1"/>
  <c r="Q19" i="74" s="1"/>
  <c r="U18" i="74"/>
  <c r="L18" i="74"/>
  <c r="M18" i="74" s="1"/>
  <c r="N18" i="74" s="1"/>
  <c r="P18" i="74" s="1"/>
  <c r="Q18" i="74" s="1"/>
  <c r="U17" i="74"/>
  <c r="L17" i="74"/>
  <c r="M17" i="74" s="1"/>
  <c r="N17" i="74" s="1"/>
  <c r="P17" i="74" s="1"/>
  <c r="Q17" i="74" s="1"/>
  <c r="U16" i="74"/>
  <c r="L16" i="74"/>
  <c r="M16" i="74" s="1"/>
  <c r="N16" i="74" s="1"/>
  <c r="P16" i="74" s="1"/>
  <c r="Q16" i="74" s="1"/>
  <c r="U15" i="74"/>
  <c r="L15" i="74"/>
  <c r="M15" i="74" s="1"/>
  <c r="N15" i="74" s="1"/>
  <c r="P15" i="74" s="1"/>
  <c r="Q15" i="74" s="1"/>
  <c r="U14" i="74"/>
  <c r="L14" i="74"/>
  <c r="M14" i="74" s="1"/>
  <c r="N14" i="74" s="1"/>
  <c r="P14" i="74" s="1"/>
  <c r="Q14" i="74" s="1"/>
  <c r="U13" i="74"/>
  <c r="L13" i="74"/>
  <c r="M13" i="74" s="1"/>
  <c r="N13" i="74" s="1"/>
  <c r="P13" i="74" s="1"/>
  <c r="Q13" i="74" s="1"/>
  <c r="U12" i="74"/>
  <c r="L12" i="74"/>
  <c r="M12" i="74" s="1"/>
  <c r="N12" i="74" s="1"/>
  <c r="P12" i="74" s="1"/>
  <c r="Q12" i="74" s="1"/>
  <c r="U11" i="74"/>
  <c r="L11" i="74"/>
  <c r="M11" i="74" s="1"/>
  <c r="N11" i="74" s="1"/>
  <c r="P11" i="74" s="1"/>
  <c r="Q11" i="74" s="1"/>
  <c r="U10" i="74"/>
  <c r="L10" i="74"/>
  <c r="M10" i="74" s="1"/>
  <c r="N10" i="74" s="1"/>
  <c r="P10" i="74" s="1"/>
  <c r="Q10" i="74" s="1"/>
  <c r="U9" i="74"/>
  <c r="L9" i="74"/>
  <c r="M9" i="74" s="1"/>
  <c r="N9" i="74" s="1"/>
  <c r="P9" i="74" s="1"/>
  <c r="Q9" i="74" s="1"/>
  <c r="U8" i="74"/>
  <c r="L8" i="74"/>
  <c r="M8" i="74" s="1"/>
  <c r="N8" i="74" s="1"/>
  <c r="P8" i="74" s="1"/>
  <c r="Q8" i="74" s="1"/>
  <c r="W9" i="75" l="1"/>
  <c r="AB56" i="11" l="1"/>
  <c r="AA55" i="11"/>
  <c r="AA44" i="11"/>
  <c r="AA45" i="11"/>
  <c r="AA46" i="11"/>
  <c r="K56"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K57" i="11"/>
  <c r="K55" i="11"/>
  <c r="J52" i="5"/>
  <c r="I52" i="5"/>
  <c r="I3" i="5" l="1"/>
  <c r="I4" i="5"/>
  <c r="I5" i="5"/>
  <c r="I6" i="5"/>
  <c r="I7" i="5"/>
  <c r="I8" i="5"/>
  <c r="I9" i="5"/>
  <c r="I10" i="5"/>
  <c r="I11" i="5"/>
  <c r="I12" i="5"/>
  <c r="I13" i="5"/>
  <c r="I14" i="5"/>
  <c r="I15" i="5"/>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6" i="11"/>
  <c r="G7" i="11"/>
  <c r="G8" i="11"/>
  <c r="G9" i="11"/>
  <c r="G10" i="11"/>
  <c r="G11" i="11"/>
  <c r="G12" i="11"/>
  <c r="G13" i="11"/>
  <c r="G14" i="11"/>
  <c r="G15" i="11"/>
  <c r="G16" i="11"/>
  <c r="G17" i="11"/>
  <c r="G18" i="11"/>
  <c r="G19" i="11"/>
  <c r="G20" i="11"/>
  <c r="G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K43" i="5"/>
  <c r="F46" i="11" s="1"/>
  <c r="K44" i="5"/>
  <c r="F47" i="11" s="1"/>
  <c r="K45" i="5"/>
  <c r="F48" i="11" s="1"/>
  <c r="K46" i="5"/>
  <c r="F49" i="11" s="1"/>
  <c r="K47" i="5"/>
  <c r="F50" i="11" s="1"/>
  <c r="K48" i="5"/>
  <c r="F51" i="11" s="1"/>
  <c r="K49" i="5"/>
  <c r="F52" i="11" s="1"/>
  <c r="K50" i="5"/>
  <c r="F53" i="11" s="1"/>
  <c r="K51" i="5"/>
  <c r="F54" i="11" s="1"/>
  <c r="K33" i="5"/>
  <c r="F36" i="11" s="1"/>
  <c r="K34" i="5"/>
  <c r="F37" i="11" s="1"/>
  <c r="K35" i="5"/>
  <c r="F38" i="11" s="1"/>
  <c r="K36" i="5"/>
  <c r="F39" i="11" s="1"/>
  <c r="K37" i="5"/>
  <c r="F40" i="11" s="1"/>
  <c r="K38" i="5"/>
  <c r="F41" i="11" s="1"/>
  <c r="K39" i="5"/>
  <c r="F42" i="11" s="1"/>
  <c r="K40" i="5"/>
  <c r="F43" i="11" s="1"/>
  <c r="K41" i="5"/>
  <c r="F44" i="11" s="1"/>
  <c r="K42" i="5"/>
  <c r="F45" i="11" s="1"/>
  <c r="K26" i="5"/>
  <c r="F29" i="11" s="1"/>
  <c r="K27" i="5"/>
  <c r="F30" i="11" s="1"/>
  <c r="K28" i="5"/>
  <c r="F31" i="11" s="1"/>
  <c r="K29" i="5"/>
  <c r="F32" i="11" s="1"/>
  <c r="K30" i="5"/>
  <c r="F33" i="11" s="1"/>
  <c r="K31" i="5"/>
  <c r="F34" i="11" s="1"/>
  <c r="K32" i="5"/>
  <c r="F35" i="11" s="1"/>
  <c r="K17" i="5"/>
  <c r="F20" i="11" s="1"/>
  <c r="K18" i="5"/>
  <c r="F21" i="11" s="1"/>
  <c r="K19" i="5"/>
  <c r="F22" i="11" s="1"/>
  <c r="K20" i="5"/>
  <c r="F23" i="11" s="1"/>
  <c r="K21" i="5"/>
  <c r="F24" i="11" s="1"/>
  <c r="K22" i="5"/>
  <c r="F25" i="11" s="1"/>
  <c r="K23" i="5"/>
  <c r="F26" i="11" s="1"/>
  <c r="K24" i="5"/>
  <c r="F27" i="11" s="1"/>
  <c r="K25" i="5"/>
  <c r="F28" i="11" s="1"/>
  <c r="K8" i="5"/>
  <c r="F11" i="11" s="1"/>
  <c r="K9" i="5"/>
  <c r="F12" i="11" s="1"/>
  <c r="K10" i="5"/>
  <c r="F13" i="11" s="1"/>
  <c r="K11" i="5"/>
  <c r="F14" i="11" s="1"/>
  <c r="K12" i="5"/>
  <c r="F15" i="11" s="1"/>
  <c r="K13" i="5"/>
  <c r="F16" i="11" s="1"/>
  <c r="K14" i="5"/>
  <c r="F17" i="11" s="1"/>
  <c r="K15" i="5"/>
  <c r="F18" i="11" s="1"/>
  <c r="K16" i="5"/>
  <c r="F19" i="11" s="1"/>
  <c r="K3" i="5"/>
  <c r="F6" i="11" s="1"/>
  <c r="K4" i="5"/>
  <c r="F7" i="11" s="1"/>
  <c r="K5" i="5"/>
  <c r="F8" i="11" s="1"/>
  <c r="K6" i="5"/>
  <c r="F9" i="11" s="1"/>
  <c r="K7" i="5"/>
  <c r="F10" i="11" s="1"/>
  <c r="K2" i="5"/>
  <c r="F5" i="11" s="1"/>
  <c r="J24" i="5"/>
  <c r="J72"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2" i="5"/>
  <c r="O39" i="11" l="1"/>
  <c r="M39" i="11"/>
  <c r="W6" i="11"/>
  <c r="W7" i="11"/>
  <c r="W8" i="11"/>
  <c r="W9" i="11"/>
  <c r="W10" i="11"/>
  <c r="W11" i="11"/>
  <c r="W12" i="11"/>
  <c r="W13" i="11"/>
  <c r="W14" i="11"/>
  <c r="W15" i="11"/>
  <c r="W16" i="11"/>
  <c r="W17" i="11"/>
  <c r="W18" i="11"/>
  <c r="W19" i="11"/>
  <c r="W21" i="11"/>
  <c r="W22" i="11"/>
  <c r="W23" i="11"/>
  <c r="W24" i="11"/>
  <c r="W25" i="11"/>
  <c r="W26" i="11"/>
  <c r="W27" i="11"/>
  <c r="W28" i="11"/>
  <c r="W29" i="11"/>
  <c r="W30" i="11"/>
  <c r="W31" i="11"/>
  <c r="W32" i="11"/>
  <c r="W33" i="11"/>
  <c r="W34" i="11"/>
  <c r="W35" i="11"/>
  <c r="W37" i="11"/>
  <c r="W38" i="11"/>
  <c r="W39" i="11"/>
  <c r="W40" i="11"/>
  <c r="W41" i="11"/>
  <c r="W42" i="11"/>
  <c r="W43" i="11"/>
  <c r="W44" i="11"/>
  <c r="W45" i="11"/>
  <c r="W46" i="11"/>
  <c r="W47" i="11"/>
  <c r="W48" i="11"/>
  <c r="W49" i="11"/>
  <c r="W50" i="11"/>
  <c r="W51" i="11"/>
  <c r="W52" i="11"/>
  <c r="W53" i="11"/>
  <c r="W54" i="11"/>
  <c r="W55" i="11"/>
  <c r="W56" i="11"/>
  <c r="W57" i="11"/>
  <c r="W58" i="11"/>
  <c r="W59" i="11"/>
  <c r="W60" i="11"/>
  <c r="W61" i="11"/>
  <c r="W62" i="11"/>
  <c r="W63" i="11"/>
  <c r="W64" i="11"/>
  <c r="W65" i="11"/>
  <c r="W66" i="11"/>
  <c r="W67" i="11"/>
  <c r="W68" i="11"/>
  <c r="W69" i="11"/>
  <c r="W70" i="11"/>
  <c r="W71" i="11"/>
  <c r="W72" i="11"/>
  <c r="W73" i="11"/>
  <c r="W74" i="11"/>
  <c r="W75" i="11"/>
  <c r="W76" i="11"/>
  <c r="W77" i="11"/>
  <c r="W78" i="11"/>
  <c r="W79" i="11"/>
  <c r="W80" i="11"/>
  <c r="W81" i="11"/>
  <c r="W82" i="11"/>
  <c r="W83" i="11"/>
  <c r="W84" i="11"/>
  <c r="W85" i="11"/>
  <c r="W86" i="11"/>
  <c r="W87" i="11"/>
  <c r="W88" i="11"/>
  <c r="W89" i="11"/>
  <c r="V6" i="11"/>
  <c r="V7" i="11"/>
  <c r="V8" i="11"/>
  <c r="V9" i="11"/>
  <c r="V10" i="11"/>
  <c r="V11" i="11"/>
  <c r="V12" i="11"/>
  <c r="V13" i="11"/>
  <c r="V14" i="11"/>
  <c r="V15" i="11"/>
  <c r="V16" i="11"/>
  <c r="V17" i="11"/>
  <c r="V18" i="11"/>
  <c r="V19" i="11"/>
  <c r="V20" i="11"/>
  <c r="V21" i="11"/>
  <c r="V22" i="11"/>
  <c r="V23" i="11"/>
  <c r="V24" i="11"/>
  <c r="V25" i="11"/>
  <c r="V26" i="11"/>
  <c r="V27" i="11"/>
  <c r="V28" i="11"/>
  <c r="V29" i="11"/>
  <c r="V30" i="11"/>
  <c r="V31" i="11"/>
  <c r="V32" i="11"/>
  <c r="V33" i="11"/>
  <c r="V34" i="11"/>
  <c r="V35" i="11"/>
  <c r="V37" i="11"/>
  <c r="V38" i="11"/>
  <c r="V39" i="11"/>
  <c r="V40" i="11"/>
  <c r="V41" i="11"/>
  <c r="V42" i="11"/>
  <c r="V43" i="11"/>
  <c r="V44" i="11"/>
  <c r="V45" i="11"/>
  <c r="V46" i="11"/>
  <c r="V47" i="11"/>
  <c r="V48" i="11"/>
  <c r="V49" i="11"/>
  <c r="V50" i="11"/>
  <c r="V51" i="11"/>
  <c r="V52" i="11"/>
  <c r="V53" i="11"/>
  <c r="V54" i="11"/>
  <c r="V55" i="11"/>
  <c r="V56" i="11"/>
  <c r="V57" i="11"/>
  <c r="V58" i="11"/>
  <c r="V59" i="11"/>
  <c r="V60" i="11"/>
  <c r="V61" i="11"/>
  <c r="V62" i="11"/>
  <c r="V63" i="11"/>
  <c r="V64" i="11"/>
  <c r="V65" i="11"/>
  <c r="V66" i="11"/>
  <c r="V67" i="11"/>
  <c r="V68" i="11"/>
  <c r="V69" i="11"/>
  <c r="V70" i="11"/>
  <c r="V71" i="11"/>
  <c r="V72" i="11"/>
  <c r="V73" i="11"/>
  <c r="V74" i="11"/>
  <c r="V75" i="11"/>
  <c r="V76" i="11"/>
  <c r="V77" i="11"/>
  <c r="V78" i="11"/>
  <c r="V79" i="11"/>
  <c r="V80" i="11"/>
  <c r="V81" i="11"/>
  <c r="V82" i="11"/>
  <c r="V83" i="11"/>
  <c r="V84" i="11"/>
  <c r="V85" i="11"/>
  <c r="V86" i="11"/>
  <c r="V87" i="11"/>
  <c r="V88" i="11"/>
  <c r="V89" i="1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C31" i="11"/>
  <c r="AC32" i="11"/>
  <c r="AC33" i="11"/>
  <c r="AC34" i="11"/>
  <c r="AC35" i="11"/>
  <c r="AC36" i="11"/>
  <c r="AC37" i="11"/>
  <c r="AC38" i="11"/>
  <c r="AC39" i="11"/>
  <c r="AC40" i="11"/>
  <c r="AC41" i="11"/>
  <c r="AC42" i="11"/>
  <c r="AC43" i="11"/>
  <c r="AC44" i="11"/>
  <c r="AC45" i="11"/>
  <c r="AC46" i="11"/>
  <c r="AC47" i="11"/>
  <c r="AC48" i="11"/>
  <c r="AC49" i="11"/>
  <c r="AC50" i="11"/>
  <c r="AC51" i="11"/>
  <c r="AC52" i="11"/>
  <c r="AC53" i="11"/>
  <c r="AC54" i="11"/>
  <c r="AC5" i="11"/>
  <c r="AB57" i="11"/>
  <c r="AB58" i="11"/>
  <c r="AB59" i="11"/>
  <c r="AB60" i="11"/>
  <c r="AB61" i="11"/>
  <c r="AB62" i="11"/>
  <c r="AB63" i="11"/>
  <c r="AB64" i="11"/>
  <c r="AB65" i="11"/>
  <c r="AB66" i="11"/>
  <c r="AB67" i="11"/>
  <c r="AB68" i="11"/>
  <c r="AB69" i="11"/>
  <c r="AB70" i="11"/>
  <c r="AB71" i="11"/>
  <c r="AB72" i="11"/>
  <c r="AB73" i="11"/>
  <c r="AB74" i="11"/>
  <c r="AB75" i="11"/>
  <c r="AB76" i="11"/>
  <c r="AB77" i="11"/>
  <c r="AB78" i="11"/>
  <c r="AB79" i="11"/>
  <c r="AB80" i="11"/>
  <c r="AB81" i="11"/>
  <c r="AB82" i="11"/>
  <c r="AB83" i="11"/>
  <c r="AB84" i="11"/>
  <c r="AB85" i="11"/>
  <c r="AB86" i="11"/>
  <c r="AB87" i="11"/>
  <c r="AB88" i="11"/>
  <c r="AB89" i="11"/>
  <c r="AA6" i="11"/>
  <c r="AA7" i="11"/>
  <c r="AA8" i="11"/>
  <c r="AB9"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35" i="11"/>
  <c r="AA36" i="11"/>
  <c r="AA37" i="11"/>
  <c r="AA38" i="11"/>
  <c r="AA39" i="11"/>
  <c r="AB39" i="11" s="1"/>
  <c r="AA40" i="11"/>
  <c r="AA41" i="11"/>
  <c r="AA42" i="11"/>
  <c r="AA43" i="11"/>
  <c r="AB44" i="11"/>
  <c r="AB45" i="11"/>
  <c r="AA47" i="11"/>
  <c r="AB47" i="11" s="1"/>
  <c r="AA48" i="11"/>
  <c r="AA49" i="11"/>
  <c r="AB49" i="11" s="1"/>
  <c r="AA50" i="11"/>
  <c r="AA51" i="11"/>
  <c r="AB51" i="11" s="1"/>
  <c r="AA52" i="11"/>
  <c r="AB52" i="11" s="1"/>
  <c r="AA53" i="11"/>
  <c r="AA54" i="11"/>
  <c r="AA5" i="11"/>
  <c r="AE6" i="11"/>
  <c r="AE7" i="11"/>
  <c r="AE8" i="11"/>
  <c r="AE9" i="11"/>
  <c r="AE10" i="11"/>
  <c r="AE11" i="11"/>
  <c r="AE12" i="11"/>
  <c r="AE13" i="11"/>
  <c r="AE14" i="11"/>
  <c r="AE15" i="11"/>
  <c r="AE16" i="11"/>
  <c r="AE17" i="11"/>
  <c r="AE18" i="11"/>
  <c r="AE19" i="11"/>
  <c r="AE20" i="11"/>
  <c r="AE21" i="11"/>
  <c r="AE22" i="11"/>
  <c r="AE23" i="11"/>
  <c r="AE24" i="11"/>
  <c r="AE25" i="11"/>
  <c r="AE26" i="11"/>
  <c r="AE27" i="11"/>
  <c r="AE28" i="11"/>
  <c r="AE29" i="11"/>
  <c r="AE30" i="11"/>
  <c r="AE31" i="11"/>
  <c r="AE32" i="11"/>
  <c r="AE33" i="11"/>
  <c r="AE34" i="11"/>
  <c r="AE35" i="11"/>
  <c r="AE36" i="11"/>
  <c r="AE37" i="11"/>
  <c r="AE38" i="11"/>
  <c r="AE39" i="11"/>
  <c r="AE40" i="11"/>
  <c r="AE41" i="11"/>
  <c r="AE42" i="11"/>
  <c r="AE43" i="11"/>
  <c r="AE44" i="11"/>
  <c r="AE45" i="11"/>
  <c r="AE46" i="11"/>
  <c r="AE47" i="11"/>
  <c r="AE48" i="11"/>
  <c r="AE49" i="11"/>
  <c r="AE50" i="11"/>
  <c r="AE51" i="11"/>
  <c r="AE52" i="11"/>
  <c r="AE53" i="11"/>
  <c r="AE54" i="11"/>
  <c r="AE5" i="11"/>
  <c r="Q6" i="11"/>
  <c r="Q7" i="11"/>
  <c r="Q8" i="11"/>
  <c r="Q9" i="11"/>
  <c r="Q10" i="11"/>
  <c r="Q11" i="11"/>
  <c r="Q12" i="11"/>
  <c r="Q13" i="11"/>
  <c r="Q14" i="11"/>
  <c r="Q15" i="11"/>
  <c r="Q16" i="11"/>
  <c r="Q17" i="11"/>
  <c r="Q18" i="11"/>
  <c r="Q19" i="11"/>
  <c r="Q20" i="11"/>
  <c r="Q21" i="11"/>
  <c r="Q22"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6" i="11"/>
  <c r="Q57" i="11"/>
  <c r="Q58" i="11"/>
  <c r="Q59" i="11"/>
  <c r="Q60" i="11"/>
  <c r="Q61" i="11"/>
  <c r="Q62" i="11"/>
  <c r="Q63" i="11"/>
  <c r="Q64" i="11"/>
  <c r="Q65" i="11"/>
  <c r="Q66" i="11"/>
  <c r="Q67" i="11"/>
  <c r="Q68" i="11"/>
  <c r="Q69" i="11"/>
  <c r="Q70" i="11"/>
  <c r="Q71" i="11"/>
  <c r="Q72" i="11"/>
  <c r="Q73" i="11"/>
  <c r="Q74" i="11"/>
  <c r="Q75" i="11"/>
  <c r="Q76" i="11"/>
  <c r="Q77" i="11"/>
  <c r="Q78" i="11"/>
  <c r="Q79" i="11"/>
  <c r="Q80" i="11"/>
  <c r="Q81" i="11"/>
  <c r="Q82" i="11"/>
  <c r="Q83" i="11"/>
  <c r="Q84" i="11"/>
  <c r="Q85" i="11"/>
  <c r="Q86" i="11"/>
  <c r="Q87" i="11"/>
  <c r="Q88" i="11"/>
  <c r="Q89" i="11"/>
  <c r="Q5" i="11"/>
  <c r="C6" i="52"/>
  <c r="D6" i="52" s="1"/>
  <c r="B6" i="52"/>
  <c r="C5" i="52"/>
  <c r="D5" i="52" s="1"/>
  <c r="B5" i="52"/>
  <c r="C4" i="52"/>
  <c r="D4" i="52" s="1"/>
  <c r="B4" i="52"/>
  <c r="R56" i="11"/>
  <c r="R57" i="11"/>
  <c r="R58" i="11"/>
  <c r="R59" i="11"/>
  <c r="R54" i="11"/>
  <c r="BK3" i="33"/>
  <c r="K5" i="11" s="1"/>
  <c r="BK4" i="33"/>
  <c r="K6" i="11" s="1"/>
  <c r="BK5" i="33"/>
  <c r="K7" i="11" s="1"/>
  <c r="BK6" i="33"/>
  <c r="K8" i="11" s="1"/>
  <c r="BK7" i="33"/>
  <c r="K9" i="11" s="1"/>
  <c r="BK8" i="33"/>
  <c r="K10" i="11" s="1"/>
  <c r="BK9" i="33"/>
  <c r="K11" i="11" s="1"/>
  <c r="BK10" i="33"/>
  <c r="K12" i="11" s="1"/>
  <c r="BK11" i="33"/>
  <c r="K13" i="11" s="1"/>
  <c r="BK12" i="33"/>
  <c r="K14" i="11" s="1"/>
  <c r="BK13" i="33"/>
  <c r="K15" i="11" s="1"/>
  <c r="BK14" i="33"/>
  <c r="K16" i="11" s="1"/>
  <c r="BK15" i="33"/>
  <c r="K17" i="11" s="1"/>
  <c r="BK16" i="33"/>
  <c r="K18" i="11" s="1"/>
  <c r="BK17" i="33"/>
  <c r="K19" i="11" s="1"/>
  <c r="BK18" i="33"/>
  <c r="K20" i="11" s="1"/>
  <c r="BK19" i="33"/>
  <c r="K21" i="11" s="1"/>
  <c r="BK20" i="33"/>
  <c r="K22" i="11" s="1"/>
  <c r="BK21" i="33"/>
  <c r="K23" i="11" s="1"/>
  <c r="BK22" i="33"/>
  <c r="K24" i="11" s="1"/>
  <c r="BK23" i="33"/>
  <c r="K25" i="11" s="1"/>
  <c r="BK24" i="33"/>
  <c r="K26" i="11" s="1"/>
  <c r="BK25" i="33"/>
  <c r="K27" i="11" s="1"/>
  <c r="BK26" i="33"/>
  <c r="K28" i="11" s="1"/>
  <c r="BK27" i="33"/>
  <c r="K29" i="11" s="1"/>
  <c r="BK28" i="33"/>
  <c r="K30" i="11" s="1"/>
  <c r="BK29" i="33"/>
  <c r="K31" i="11" s="1"/>
  <c r="BK30" i="33"/>
  <c r="K32" i="11" s="1"/>
  <c r="BK31" i="33"/>
  <c r="K33" i="11" s="1"/>
  <c r="BK32" i="33"/>
  <c r="K34" i="11" s="1"/>
  <c r="BK33" i="33"/>
  <c r="K35" i="11" s="1"/>
  <c r="BK34" i="33"/>
  <c r="K36" i="11" s="1"/>
  <c r="BK35" i="33"/>
  <c r="K37" i="11" s="1"/>
  <c r="BK36" i="33"/>
  <c r="K38" i="11" s="1"/>
  <c r="BK37" i="33"/>
  <c r="K39" i="11" s="1"/>
  <c r="BK38" i="33"/>
  <c r="K40" i="11" s="1"/>
  <c r="BK39" i="33"/>
  <c r="K41" i="11" s="1"/>
  <c r="BK40" i="33"/>
  <c r="K42" i="11" s="1"/>
  <c r="BK41" i="33"/>
  <c r="K43" i="11" s="1"/>
  <c r="BK42" i="33"/>
  <c r="K44" i="11" s="1"/>
  <c r="BK43" i="33"/>
  <c r="K45" i="11" s="1"/>
  <c r="BK44" i="33"/>
  <c r="K46" i="11" s="1"/>
  <c r="BK45" i="33"/>
  <c r="K47" i="11" s="1"/>
  <c r="BK46" i="33"/>
  <c r="K48" i="11" s="1"/>
  <c r="BK47" i="33"/>
  <c r="K49" i="11" s="1"/>
  <c r="BK48" i="33"/>
  <c r="K50" i="11" s="1"/>
  <c r="BK49" i="33"/>
  <c r="K51" i="11" s="1"/>
  <c r="BK50" i="33"/>
  <c r="K52" i="11" s="1"/>
  <c r="BK51" i="33"/>
  <c r="K53" i="11" s="1"/>
  <c r="BK52" i="33"/>
  <c r="K54" i="11" s="1"/>
  <c r="M62" i="11" l="1"/>
  <c r="M74" i="11"/>
  <c r="M86" i="11"/>
  <c r="M63" i="11"/>
  <c r="M75" i="11"/>
  <c r="M87" i="11"/>
  <c r="M64" i="11"/>
  <c r="M76" i="11"/>
  <c r="M88" i="11"/>
  <c r="M65" i="11"/>
  <c r="M77" i="11"/>
  <c r="M89" i="11"/>
  <c r="M78" i="11"/>
  <c r="M56" i="11"/>
  <c r="M79" i="11"/>
  <c r="M68" i="11"/>
  <c r="M80" i="11"/>
  <c r="M57" i="11"/>
  <c r="M69" i="11"/>
  <c r="M81" i="11"/>
  <c r="M58" i="11"/>
  <c r="M70" i="11"/>
  <c r="M82" i="11"/>
  <c r="M59" i="11"/>
  <c r="M71" i="11"/>
  <c r="M83" i="11"/>
  <c r="M60" i="11"/>
  <c r="M72" i="11"/>
  <c r="M84" i="11"/>
  <c r="M61" i="11"/>
  <c r="M73" i="11"/>
  <c r="M85" i="11"/>
  <c r="M66" i="11"/>
  <c r="M67" i="11"/>
  <c r="D7" i="52"/>
  <c r="B7" i="52"/>
  <c r="C7" i="52"/>
  <c r="J90" i="11" l="1"/>
  <c r="N7" i="11" l="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5" i="11"/>
  <c r="N6" i="11"/>
  <c r="O6" i="11" l="1"/>
  <c r="M6" i="11"/>
  <c r="O79" i="11"/>
  <c r="O67" i="11"/>
  <c r="O54" i="11"/>
  <c r="M54" i="11"/>
  <c r="M42" i="11"/>
  <c r="O42" i="11"/>
  <c r="M30" i="11"/>
  <c r="O30" i="11"/>
  <c r="O18" i="11"/>
  <c r="M18" i="11"/>
  <c r="O5" i="11"/>
  <c r="M5" i="11"/>
  <c r="O78" i="11"/>
  <c r="O66" i="11"/>
  <c r="M53" i="11"/>
  <c r="O53" i="11"/>
  <c r="M41" i="11"/>
  <c r="O41" i="11"/>
  <c r="M29" i="11"/>
  <c r="O29" i="11"/>
  <c r="O17" i="11"/>
  <c r="M17" i="11"/>
  <c r="O89" i="11"/>
  <c r="O77" i="11"/>
  <c r="O65" i="11"/>
  <c r="O52" i="11"/>
  <c r="M52" i="11"/>
  <c r="O40" i="11"/>
  <c r="M40" i="11"/>
  <c r="O28" i="11"/>
  <c r="M28" i="11"/>
  <c r="M16" i="11"/>
  <c r="O16" i="11"/>
  <c r="O88" i="11"/>
  <c r="O76" i="11"/>
  <c r="O64" i="11"/>
  <c r="O51" i="11"/>
  <c r="M51" i="11"/>
  <c r="O27" i="11"/>
  <c r="M27" i="11"/>
  <c r="O15" i="11"/>
  <c r="M15" i="11"/>
  <c r="O87" i="11"/>
  <c r="O75" i="11"/>
  <c r="O63" i="11"/>
  <c r="M50" i="11"/>
  <c r="O50" i="11"/>
  <c r="M38" i="11"/>
  <c r="O38" i="11"/>
  <c r="M26" i="11"/>
  <c r="O26" i="11"/>
  <c r="M14" i="11"/>
  <c r="O14" i="11"/>
  <c r="O86" i="11"/>
  <c r="O74" i="11"/>
  <c r="O62" i="11"/>
  <c r="M49" i="11"/>
  <c r="O49" i="11"/>
  <c r="M37" i="11"/>
  <c r="O37" i="11"/>
  <c r="M25" i="11"/>
  <c r="O25" i="11"/>
  <c r="M13" i="11"/>
  <c r="O13" i="11"/>
  <c r="O85" i="11"/>
  <c r="O73" i="11"/>
  <c r="O61" i="11"/>
  <c r="O48" i="11"/>
  <c r="M48" i="11"/>
  <c r="M36" i="11"/>
  <c r="O36" i="11"/>
  <c r="O24" i="11"/>
  <c r="M24" i="11"/>
  <c r="O12" i="11"/>
  <c r="M12" i="11"/>
  <c r="O84" i="11"/>
  <c r="O72" i="11"/>
  <c r="O60" i="11"/>
  <c r="O47" i="11"/>
  <c r="M47" i="11"/>
  <c r="O35" i="11"/>
  <c r="M35" i="11"/>
  <c r="M23" i="11"/>
  <c r="O23" i="11"/>
  <c r="O11" i="11"/>
  <c r="M11" i="11"/>
  <c r="O83" i="11"/>
  <c r="O59" i="11"/>
  <c r="O22" i="11"/>
  <c r="M22" i="11"/>
  <c r="O70" i="11"/>
  <c r="O8" i="11"/>
  <c r="M8" i="11"/>
  <c r="O71" i="11"/>
  <c r="O46" i="11"/>
  <c r="M46" i="11"/>
  <c r="O34" i="11"/>
  <c r="M34" i="11"/>
  <c r="M10" i="11"/>
  <c r="O10" i="11"/>
  <c r="O82" i="11"/>
  <c r="O58" i="11"/>
  <c r="O45" i="11"/>
  <c r="M45" i="11"/>
  <c r="O33" i="11"/>
  <c r="M33" i="11"/>
  <c r="O21" i="11"/>
  <c r="M21" i="11"/>
  <c r="O9" i="11"/>
  <c r="M9" i="11"/>
  <c r="O81" i="11"/>
  <c r="O69" i="11"/>
  <c r="O57" i="11"/>
  <c r="O44" i="11"/>
  <c r="M44" i="11"/>
  <c r="M32" i="11"/>
  <c r="O32" i="11"/>
  <c r="O20" i="11"/>
  <c r="M20" i="11"/>
  <c r="O80" i="11"/>
  <c r="O68" i="11"/>
  <c r="O56" i="11"/>
  <c r="O43" i="11"/>
  <c r="M43" i="11"/>
  <c r="O31" i="11"/>
  <c r="M31" i="11"/>
  <c r="O19" i="11"/>
  <c r="M19" i="11"/>
  <c r="M7" i="11"/>
  <c r="O7" i="11"/>
  <c r="W5" i="11"/>
  <c r="V5" i="11"/>
  <c r="R6" i="11"/>
  <c r="R7" i="11"/>
  <c r="R8" i="11"/>
  <c r="R9" i="11"/>
  <c r="R10" i="11"/>
  <c r="R11" i="11"/>
  <c r="R12" i="11"/>
  <c r="R13" i="11"/>
  <c r="R14" i="11"/>
  <c r="R15" i="11"/>
  <c r="R16" i="11"/>
  <c r="R17" i="11"/>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60" i="11"/>
  <c r="R61" i="11"/>
  <c r="R62" i="11"/>
  <c r="R63" i="11"/>
  <c r="R64" i="11"/>
  <c r="R65" i="11"/>
  <c r="R66" i="11"/>
  <c r="R67" i="11"/>
  <c r="R68" i="11"/>
  <c r="R69" i="11"/>
  <c r="R70" i="11"/>
  <c r="R71" i="11"/>
  <c r="R72" i="11"/>
  <c r="R73" i="11"/>
  <c r="R74" i="11"/>
  <c r="R75" i="11"/>
  <c r="R76" i="11"/>
  <c r="R77" i="11"/>
  <c r="R78" i="11"/>
  <c r="R79" i="11"/>
  <c r="R80" i="11"/>
  <c r="R81" i="11"/>
  <c r="R82" i="11"/>
  <c r="R83" i="11"/>
  <c r="R84" i="11"/>
  <c r="R85" i="11"/>
  <c r="R86" i="11"/>
  <c r="R87" i="11"/>
  <c r="R88" i="11"/>
  <c r="R89" i="11"/>
  <c r="R5" i="11"/>
  <c r="S5" i="11" l="1"/>
  <c r="AF89" i="11" l="1"/>
  <c r="AF88" i="11"/>
  <c r="AF87" i="11"/>
  <c r="AF86" i="11"/>
  <c r="AF85" i="11"/>
  <c r="AF84" i="11"/>
  <c r="AF83" i="11"/>
  <c r="AF82" i="11"/>
  <c r="AF81" i="11"/>
  <c r="AF80" i="11"/>
  <c r="AF79" i="11"/>
  <c r="AF78" i="11"/>
  <c r="AF77" i="11"/>
  <c r="AF76" i="11"/>
  <c r="AF75" i="11"/>
  <c r="AF74" i="11"/>
  <c r="AF73" i="11"/>
  <c r="AF72" i="11"/>
  <c r="AF71" i="11"/>
  <c r="AF70" i="11"/>
  <c r="AF69" i="11"/>
  <c r="AF68" i="11"/>
  <c r="AF67" i="11"/>
  <c r="AF66" i="11"/>
  <c r="AF65" i="11"/>
  <c r="AF64" i="11"/>
  <c r="AF63" i="11"/>
  <c r="AF62" i="11"/>
  <c r="AF61" i="11"/>
  <c r="AF60" i="11"/>
  <c r="AF59" i="11"/>
  <c r="AF58" i="11"/>
  <c r="AF57" i="11"/>
  <c r="AF56" i="11"/>
  <c r="AF54" i="11"/>
  <c r="AF53" i="11"/>
  <c r="AF52" i="11"/>
  <c r="AF51" i="11"/>
  <c r="AF50" i="11"/>
  <c r="AF49" i="11"/>
  <c r="AF48" i="11"/>
  <c r="AF47" i="11"/>
  <c r="AF46" i="11"/>
  <c r="AF45" i="11"/>
  <c r="AF44" i="11"/>
  <c r="AF43" i="11"/>
  <c r="AF42" i="11"/>
  <c r="AF41" i="11"/>
  <c r="AF40" i="11"/>
  <c r="AF39" i="11"/>
  <c r="AF38" i="11"/>
  <c r="AF37" i="11"/>
  <c r="AF36" i="11"/>
  <c r="AF35" i="11"/>
  <c r="AF34" i="11"/>
  <c r="AF33" i="11"/>
  <c r="AF32" i="11"/>
  <c r="AF31" i="11"/>
  <c r="AF30" i="11"/>
  <c r="AF29" i="11"/>
  <c r="AF28" i="11"/>
  <c r="AF27" i="11"/>
  <c r="AF26" i="11"/>
  <c r="AF25" i="11"/>
  <c r="AF24" i="11"/>
  <c r="AF23" i="11"/>
  <c r="AF22" i="11"/>
  <c r="AF21" i="11"/>
  <c r="AF20" i="11"/>
  <c r="AF19" i="11"/>
  <c r="AF18" i="11"/>
  <c r="AF17" i="11"/>
  <c r="AF16" i="11"/>
  <c r="AF15" i="11"/>
  <c r="AF14" i="11"/>
  <c r="AF13" i="11"/>
  <c r="AF12" i="11"/>
  <c r="AF11" i="11"/>
  <c r="AF10" i="11"/>
  <c r="AF9" i="11"/>
  <c r="AF8" i="11"/>
  <c r="AF7" i="11"/>
  <c r="AF6" i="11"/>
  <c r="AF5" i="11"/>
  <c r="S71" i="11"/>
  <c r="Y71" i="11" s="1"/>
  <c r="P70" i="11" l="1"/>
  <c r="P82" i="11"/>
  <c r="P73" i="11"/>
  <c r="S76" i="11"/>
  <c r="Y76" i="11" s="1"/>
  <c r="S79" i="11"/>
  <c r="Y79" i="11" s="1"/>
  <c r="P78" i="11"/>
  <c r="X78" i="11" s="1"/>
  <c r="S8" i="11"/>
  <c r="Y8" i="11" s="1"/>
  <c r="S75" i="11"/>
  <c r="Y75" i="11" s="1"/>
  <c r="S83" i="11"/>
  <c r="Y83" i="11" s="1"/>
  <c r="S10" i="11"/>
  <c r="Y10" i="11" s="1"/>
  <c r="S14" i="11"/>
  <c r="Y14" i="11" s="1"/>
  <c r="S18" i="11"/>
  <c r="Y18" i="11" s="1"/>
  <c r="S22" i="11"/>
  <c r="Y22" i="11" s="1"/>
  <c r="S26" i="11"/>
  <c r="Y26" i="11" s="1"/>
  <c r="S30" i="11"/>
  <c r="Y30" i="11" s="1"/>
  <c r="S34" i="11"/>
  <c r="Y34" i="11" s="1"/>
  <c r="S38" i="11"/>
  <c r="Y38" i="11" s="1"/>
  <c r="S42" i="11"/>
  <c r="Y42" i="11" s="1"/>
  <c r="S46" i="11"/>
  <c r="Y46" i="11" s="1"/>
  <c r="S50" i="11"/>
  <c r="Y50" i="11" s="1"/>
  <c r="S54" i="11"/>
  <c r="Y54" i="11" s="1"/>
  <c r="S59" i="11"/>
  <c r="Y59" i="11" s="1"/>
  <c r="S63" i="11"/>
  <c r="Y63" i="11" s="1"/>
  <c r="S67" i="11"/>
  <c r="Y67" i="11" s="1"/>
  <c r="S72" i="11"/>
  <c r="Y72" i="11" s="1"/>
  <c r="S15" i="11"/>
  <c r="Y15" i="11" s="1"/>
  <c r="S23" i="11"/>
  <c r="Y23" i="11" s="1"/>
  <c r="S47" i="11"/>
  <c r="Y47" i="11" s="1"/>
  <c r="S51" i="11"/>
  <c r="Y51" i="11" s="1"/>
  <c r="S56" i="11"/>
  <c r="Y56" i="11" s="1"/>
  <c r="S60" i="11"/>
  <c r="Y60" i="11" s="1"/>
  <c r="S64" i="11"/>
  <c r="Y64" i="11" s="1"/>
  <c r="S68" i="11"/>
  <c r="Y68" i="11" s="1"/>
  <c r="S87" i="11"/>
  <c r="Y87" i="11" s="1"/>
  <c r="S27" i="11"/>
  <c r="Y27" i="11" s="1"/>
  <c r="S43" i="11"/>
  <c r="Y43" i="11" s="1"/>
  <c r="S89" i="11"/>
  <c r="S85" i="11"/>
  <c r="Y85" i="11" s="1"/>
  <c r="S81" i="11"/>
  <c r="Y81" i="11" s="1"/>
  <c r="S77" i="11"/>
  <c r="Y77" i="11" s="1"/>
  <c r="S73" i="11"/>
  <c r="Y73" i="11" s="1"/>
  <c r="S69" i="11"/>
  <c r="Y69" i="11" s="1"/>
  <c r="S65" i="11"/>
  <c r="Y65" i="11" s="1"/>
  <c r="S61" i="11"/>
  <c r="Y61" i="11" s="1"/>
  <c r="S57" i="11"/>
  <c r="Y57" i="11" s="1"/>
  <c r="S52" i="11"/>
  <c r="Y52" i="11" s="1"/>
  <c r="S48" i="11"/>
  <c r="Y48" i="11" s="1"/>
  <c r="S44" i="11"/>
  <c r="Y44" i="11" s="1"/>
  <c r="S40" i="11"/>
  <c r="Y40" i="11" s="1"/>
  <c r="S36" i="11"/>
  <c r="Y36" i="11" s="1"/>
  <c r="S32" i="11"/>
  <c r="Y32" i="11" s="1"/>
  <c r="S28" i="11"/>
  <c r="Y28" i="11" s="1"/>
  <c r="S24" i="11"/>
  <c r="Y24" i="11" s="1"/>
  <c r="S20" i="11"/>
  <c r="Y20" i="11" s="1"/>
  <c r="S16" i="11"/>
  <c r="Y16" i="11" s="1"/>
  <c r="S12" i="11"/>
  <c r="Y12" i="11" s="1"/>
  <c r="S88" i="11"/>
  <c r="Y88" i="11" s="1"/>
  <c r="S84" i="11"/>
  <c r="Y84" i="11" s="1"/>
  <c r="S80" i="11"/>
  <c r="Y80" i="11" s="1"/>
  <c r="S86" i="11"/>
  <c r="Y86" i="11" s="1"/>
  <c r="S82" i="11"/>
  <c r="Y82" i="11" s="1"/>
  <c r="S78" i="11"/>
  <c r="Y78" i="11" s="1"/>
  <c r="S74" i="11"/>
  <c r="Y74" i="11" s="1"/>
  <c r="S70" i="11"/>
  <c r="Y70" i="11" s="1"/>
  <c r="S66" i="11"/>
  <c r="Y66" i="11" s="1"/>
  <c r="S62" i="11"/>
  <c r="Y62" i="11" s="1"/>
  <c r="S58" i="11"/>
  <c r="Y58" i="11" s="1"/>
  <c r="S53" i="11"/>
  <c r="Y53" i="11" s="1"/>
  <c r="S49" i="11"/>
  <c r="Y49" i="11" s="1"/>
  <c r="S45" i="11"/>
  <c r="Y45" i="11" s="1"/>
  <c r="S41" i="11"/>
  <c r="Y41" i="11" s="1"/>
  <c r="S37" i="11"/>
  <c r="Y37" i="11" s="1"/>
  <c r="S33" i="11"/>
  <c r="Y33" i="11" s="1"/>
  <c r="S29" i="11"/>
  <c r="Y29" i="11" s="1"/>
  <c r="S25" i="11"/>
  <c r="Y25" i="11" s="1"/>
  <c r="S21" i="11"/>
  <c r="Y21" i="11" s="1"/>
  <c r="S17" i="11"/>
  <c r="Y17" i="11" s="1"/>
  <c r="S13" i="11"/>
  <c r="Y13" i="11" s="1"/>
  <c r="S9" i="11"/>
  <c r="Y9" i="11" s="1"/>
  <c r="Y5" i="11"/>
  <c r="J92" i="11"/>
  <c r="J93" i="11" s="1"/>
  <c r="S7" i="11"/>
  <c r="Y7" i="11" s="1"/>
  <c r="S11" i="11"/>
  <c r="Y11" i="11" s="1"/>
  <c r="S19" i="11"/>
  <c r="Y19" i="11" s="1"/>
  <c r="S31" i="11"/>
  <c r="Y31" i="11" s="1"/>
  <c r="S35" i="11"/>
  <c r="Y35" i="11" s="1"/>
  <c r="S39" i="11"/>
  <c r="Y39" i="11" s="1"/>
  <c r="S6" i="11"/>
  <c r="Y6" i="11" s="1"/>
  <c r="P86" i="11"/>
  <c r="P8" i="11" l="1"/>
  <c r="P11" i="11"/>
  <c r="P10" i="11"/>
  <c r="Y89" i="11"/>
  <c r="P51" i="11"/>
  <c r="AD51" i="11" s="1"/>
  <c r="P76" i="11"/>
  <c r="T76" i="11" s="1"/>
  <c r="P6" i="11"/>
  <c r="P5" i="11"/>
  <c r="P9" i="11"/>
  <c r="P60" i="11"/>
  <c r="T60" i="11" s="1"/>
  <c r="P80" i="11"/>
  <c r="T80" i="11" s="1"/>
  <c r="P45" i="11"/>
  <c r="AD45" i="11" s="1"/>
  <c r="P88" i="11"/>
  <c r="T88" i="11" s="1"/>
  <c r="P63" i="11"/>
  <c r="X63" i="11" s="1"/>
  <c r="Z63" i="11" s="1"/>
  <c r="T86" i="11"/>
  <c r="X86" i="11"/>
  <c r="Z86" i="11" s="1"/>
  <c r="P27" i="11"/>
  <c r="T82" i="11"/>
  <c r="X82" i="11"/>
  <c r="Z82" i="11" s="1"/>
  <c r="P71" i="11"/>
  <c r="P26" i="11"/>
  <c r="P58" i="11"/>
  <c r="P35" i="11"/>
  <c r="P15" i="11"/>
  <c r="P23" i="11"/>
  <c r="T70" i="11"/>
  <c r="X70" i="11"/>
  <c r="Z70" i="11" s="1"/>
  <c r="P42" i="11"/>
  <c r="P72" i="11"/>
  <c r="P31" i="11"/>
  <c r="T73" i="11"/>
  <c r="X73" i="11"/>
  <c r="Z73" i="11" s="1"/>
  <c r="P7" i="11"/>
  <c r="Z78" i="11"/>
  <c r="P39" i="11"/>
  <c r="AD39" i="11" s="1"/>
  <c r="P19" i="11"/>
  <c r="P84" i="11"/>
  <c r="P47" i="11"/>
  <c r="AD47" i="11" s="1"/>
  <c r="P54" i="11"/>
  <c r="P66" i="11"/>
  <c r="P53" i="11"/>
  <c r="P44" i="11"/>
  <c r="AD44" i="11" s="1"/>
  <c r="P24" i="11"/>
  <c r="P13" i="11"/>
  <c r="P59" i="11"/>
  <c r="P18" i="11"/>
  <c r="P50" i="11"/>
  <c r="P22" i="11"/>
  <c r="P65" i="11"/>
  <c r="P52" i="11"/>
  <c r="AD52" i="11" s="1"/>
  <c r="P33" i="11"/>
  <c r="P12" i="11"/>
  <c r="P56" i="11"/>
  <c r="P79" i="11"/>
  <c r="P89" i="11"/>
  <c r="P62" i="11"/>
  <c r="P41" i="11"/>
  <c r="P32" i="11"/>
  <c r="P21" i="11"/>
  <c r="P81" i="11"/>
  <c r="P38" i="11"/>
  <c r="P14" i="11"/>
  <c r="P61" i="11"/>
  <c r="P49" i="11"/>
  <c r="AD49" i="11" s="1"/>
  <c r="P40" i="11"/>
  <c r="P20" i="11"/>
  <c r="P46" i="11"/>
  <c r="P25" i="11"/>
  <c r="P87" i="11"/>
  <c r="P68" i="11"/>
  <c r="T78" i="11"/>
  <c r="P48" i="11"/>
  <c r="P29" i="11"/>
  <c r="P43" i="11"/>
  <c r="P77" i="11"/>
  <c r="P30" i="11"/>
  <c r="P85" i="11"/>
  <c r="P64" i="11"/>
  <c r="P75" i="11"/>
  <c r="P37" i="11"/>
  <c r="P28" i="11"/>
  <c r="P17" i="11"/>
  <c r="P67" i="11"/>
  <c r="P74" i="11"/>
  <c r="P69" i="11"/>
  <c r="P57" i="11"/>
  <c r="P36" i="11"/>
  <c r="P16" i="11"/>
  <c r="P83" i="11"/>
  <c r="P34" i="11"/>
  <c r="AD48" i="11" l="1"/>
  <c r="AB48" i="11"/>
  <c r="AB22" i="11"/>
  <c r="AD22" i="11"/>
  <c r="AD19" i="11"/>
  <c r="AB19" i="11"/>
  <c r="AB15" i="11"/>
  <c r="AD15" i="11"/>
  <c r="AD21" i="11"/>
  <c r="AB21" i="11"/>
  <c r="AD50" i="11"/>
  <c r="AB50" i="11"/>
  <c r="AB35" i="11"/>
  <c r="AD35" i="11"/>
  <c r="AB46" i="11"/>
  <c r="AD46" i="11"/>
  <c r="AD6" i="11"/>
  <c r="AB6" i="11"/>
  <c r="AB34" i="11"/>
  <c r="AD34" i="11"/>
  <c r="X20" i="11"/>
  <c r="Z20" i="11" s="1"/>
  <c r="AD20" i="11"/>
  <c r="AB20" i="11"/>
  <c r="AD31" i="11"/>
  <c r="AB31" i="11"/>
  <c r="AB40" i="11"/>
  <c r="AD40" i="11"/>
  <c r="AD53" i="11"/>
  <c r="AB53" i="11"/>
  <c r="AD27" i="11"/>
  <c r="AB27" i="11"/>
  <c r="AD26" i="11"/>
  <c r="AB26" i="11"/>
  <c r="AD25" i="11"/>
  <c r="AB25" i="11"/>
  <c r="AD30" i="11"/>
  <c r="AB30" i="11"/>
  <c r="AD12" i="11"/>
  <c r="AB12" i="11"/>
  <c r="AD42" i="11"/>
  <c r="AB42" i="11"/>
  <c r="AD17" i="11"/>
  <c r="AB17" i="11"/>
  <c r="X18" i="11"/>
  <c r="Z18" i="11" s="1"/>
  <c r="AD18" i="11"/>
  <c r="AB18" i="11"/>
  <c r="AD37" i="11"/>
  <c r="AB37" i="11"/>
  <c r="AD13" i="11"/>
  <c r="AB13" i="11"/>
  <c r="AD54" i="11"/>
  <c r="AB54" i="11"/>
  <c r="AD10" i="11"/>
  <c r="AB10" i="11"/>
  <c r="AD32" i="11"/>
  <c r="AB32" i="11"/>
  <c r="AD28" i="11"/>
  <c r="AB28" i="11"/>
  <c r="AD7" i="11"/>
  <c r="AB7" i="11"/>
  <c r="T5" i="11"/>
  <c r="AD5" i="11"/>
  <c r="AB5" i="11"/>
  <c r="AD24" i="11"/>
  <c r="AB24" i="11"/>
  <c r="X11" i="11"/>
  <c r="Z11" i="11" s="1"/>
  <c r="AB11" i="11"/>
  <c r="AD11" i="11"/>
  <c r="AD41" i="11"/>
  <c r="AB41" i="11"/>
  <c r="T9" i="11"/>
  <c r="AD9" i="11"/>
  <c r="AB16" i="11"/>
  <c r="AD16" i="11"/>
  <c r="AD36" i="11"/>
  <c r="AB36" i="11"/>
  <c r="AD33" i="11"/>
  <c r="AB33" i="11"/>
  <c r="AD43" i="11"/>
  <c r="AB43" i="11"/>
  <c r="AD14" i="11"/>
  <c r="AB14" i="11"/>
  <c r="AD29" i="11"/>
  <c r="AB29" i="11"/>
  <c r="AD38" i="11"/>
  <c r="AB38" i="11"/>
  <c r="AB23" i="11"/>
  <c r="AD23" i="11"/>
  <c r="T8" i="11"/>
  <c r="AD8" i="11"/>
  <c r="AB8" i="11"/>
  <c r="X76" i="11"/>
  <c r="Z76" i="11" s="1"/>
  <c r="X45" i="11"/>
  <c r="Z45" i="11" s="1"/>
  <c r="X10" i="11"/>
  <c r="Z10" i="11" s="1"/>
  <c r="X8" i="11"/>
  <c r="Z8" i="11" s="1"/>
  <c r="X5" i="11"/>
  <c r="Z5" i="11" s="1"/>
  <c r="X9" i="11"/>
  <c r="Z9" i="11" s="1"/>
  <c r="T63" i="11"/>
  <c r="T10" i="11"/>
  <c r="X51" i="11"/>
  <c r="Z51" i="11" s="1"/>
  <c r="X6" i="11"/>
  <c r="Z6" i="11" s="1"/>
  <c r="T42" i="11"/>
  <c r="T6" i="11"/>
  <c r="T51" i="11"/>
  <c r="X80" i="11"/>
  <c r="Z80" i="11" s="1"/>
  <c r="T45" i="11"/>
  <c r="X60" i="11"/>
  <c r="Z60" i="11" s="1"/>
  <c r="X88" i="11"/>
  <c r="T17" i="11"/>
  <c r="X17" i="11"/>
  <c r="Z17" i="11" s="1"/>
  <c r="T21" i="11"/>
  <c r="X21" i="11"/>
  <c r="Z21" i="11" s="1"/>
  <c r="T13" i="11"/>
  <c r="X13" i="11"/>
  <c r="Z13" i="11" s="1"/>
  <c r="T84" i="11"/>
  <c r="X84" i="11"/>
  <c r="Z84" i="11" s="1"/>
  <c r="T7" i="11"/>
  <c r="X7" i="11"/>
  <c r="Z7" i="11" s="1"/>
  <c r="T16" i="11"/>
  <c r="X16" i="11"/>
  <c r="Z16" i="11" s="1"/>
  <c r="T28" i="11"/>
  <c r="X28" i="11"/>
  <c r="Z28" i="11" s="1"/>
  <c r="T43" i="11"/>
  <c r="X43" i="11"/>
  <c r="Z43" i="11" s="1"/>
  <c r="T20" i="11"/>
  <c r="T32" i="11"/>
  <c r="X32" i="11"/>
  <c r="Z32" i="11" s="1"/>
  <c r="T33" i="11"/>
  <c r="X33" i="11"/>
  <c r="Z33" i="11" s="1"/>
  <c r="T24" i="11"/>
  <c r="X24" i="11"/>
  <c r="Z24" i="11" s="1"/>
  <c r="T31" i="11"/>
  <c r="X31" i="11"/>
  <c r="Z31" i="11" s="1"/>
  <c r="T23" i="11"/>
  <c r="X23" i="11"/>
  <c r="Z23" i="11" s="1"/>
  <c r="T27" i="11"/>
  <c r="X27" i="11"/>
  <c r="Z27" i="11" s="1"/>
  <c r="T72" i="11"/>
  <c r="X72" i="11"/>
  <c r="Z72" i="11" s="1"/>
  <c r="T57" i="11"/>
  <c r="X57" i="11"/>
  <c r="Z57" i="11" s="1"/>
  <c r="T75" i="11"/>
  <c r="X75" i="11"/>
  <c r="Z75" i="11" s="1"/>
  <c r="T48" i="11"/>
  <c r="X48" i="11"/>
  <c r="Z48" i="11" s="1"/>
  <c r="T49" i="11"/>
  <c r="X49" i="11"/>
  <c r="Z49" i="11" s="1"/>
  <c r="T62" i="11"/>
  <c r="X62" i="11"/>
  <c r="Z62" i="11" s="1"/>
  <c r="T65" i="11"/>
  <c r="X65" i="11"/>
  <c r="T53" i="11"/>
  <c r="X53" i="11"/>
  <c r="Z53" i="11" s="1"/>
  <c r="T11" i="11"/>
  <c r="AG76" i="11"/>
  <c r="T26" i="11"/>
  <c r="X26" i="11"/>
  <c r="Z26" i="11" s="1"/>
  <c r="AG86" i="11"/>
  <c r="T83" i="11"/>
  <c r="X83" i="11"/>
  <c r="Z83" i="11" s="1"/>
  <c r="T69" i="11"/>
  <c r="X69" i="11"/>
  <c r="Z69" i="11" s="1"/>
  <c r="T64" i="11"/>
  <c r="X64" i="11"/>
  <c r="Z64" i="11" s="1"/>
  <c r="AG78" i="11"/>
  <c r="T61" i="11"/>
  <c r="X61" i="11"/>
  <c r="Z61" i="11" s="1"/>
  <c r="T22" i="11"/>
  <c r="X22" i="11"/>
  <c r="Z22" i="11" s="1"/>
  <c r="T66" i="11"/>
  <c r="X66" i="11"/>
  <c r="Z66" i="11" s="1"/>
  <c r="X42" i="11"/>
  <c r="Z42" i="11" s="1"/>
  <c r="AG80" i="11"/>
  <c r="T40" i="11"/>
  <c r="X40" i="11"/>
  <c r="Z40" i="11" s="1"/>
  <c r="T85" i="11"/>
  <c r="X85" i="11"/>
  <c r="Z85" i="11" s="1"/>
  <c r="T68" i="11"/>
  <c r="X68" i="11"/>
  <c r="Z68" i="11" s="1"/>
  <c r="T14" i="11"/>
  <c r="X14" i="11"/>
  <c r="Z14" i="11" s="1"/>
  <c r="T89" i="11"/>
  <c r="X89" i="11"/>
  <c r="Z89" i="11" s="1"/>
  <c r="T50" i="11"/>
  <c r="X50" i="11"/>
  <c r="Z50" i="11" s="1"/>
  <c r="T54" i="11"/>
  <c r="X54" i="11"/>
  <c r="T19" i="11"/>
  <c r="X19" i="11"/>
  <c r="Z19" i="11" s="1"/>
  <c r="AG88" i="11"/>
  <c r="AG60" i="11"/>
  <c r="T12" i="11"/>
  <c r="X12" i="11"/>
  <c r="Z12" i="11" s="1"/>
  <c r="T36" i="11"/>
  <c r="X36" i="11"/>
  <c r="Z36" i="11" s="1"/>
  <c r="T37" i="11"/>
  <c r="X37" i="11"/>
  <c r="Z37" i="11" s="1"/>
  <c r="T41" i="11"/>
  <c r="X41" i="11"/>
  <c r="Z41" i="11" s="1"/>
  <c r="T52" i="11"/>
  <c r="X52" i="11"/>
  <c r="Z52" i="11" s="1"/>
  <c r="T44" i="11"/>
  <c r="X44" i="11"/>
  <c r="Z44" i="11" s="1"/>
  <c r="T58" i="11"/>
  <c r="X58" i="11"/>
  <c r="Z58" i="11" s="1"/>
  <c r="T74" i="11"/>
  <c r="X74" i="11"/>
  <c r="Z74" i="11" s="1"/>
  <c r="T30" i="11"/>
  <c r="X30" i="11"/>
  <c r="Z30" i="11" s="1"/>
  <c r="T87" i="11"/>
  <c r="X87" i="11"/>
  <c r="Z87" i="11" s="1"/>
  <c r="T38" i="11"/>
  <c r="X38" i="11"/>
  <c r="Z38" i="11" s="1"/>
  <c r="T79" i="11"/>
  <c r="X79" i="11"/>
  <c r="Z79" i="11" s="1"/>
  <c r="T18" i="11"/>
  <c r="T39" i="11"/>
  <c r="X39" i="11"/>
  <c r="Z39" i="11" s="1"/>
  <c r="AG73" i="11"/>
  <c r="AG70" i="11"/>
  <c r="T15" i="11"/>
  <c r="X15" i="11"/>
  <c r="Z15" i="11" s="1"/>
  <c r="T71" i="11"/>
  <c r="X71" i="11"/>
  <c r="Z71" i="11" s="1"/>
  <c r="T46" i="11"/>
  <c r="X46" i="11"/>
  <c r="Z46" i="11" s="1"/>
  <c r="T29" i="11"/>
  <c r="X29" i="11"/>
  <c r="Z29" i="11" s="1"/>
  <c r="T34" i="11"/>
  <c r="X34" i="11"/>
  <c r="Z34" i="11" s="1"/>
  <c r="T67" i="11"/>
  <c r="X67" i="11"/>
  <c r="Z67" i="11" s="1"/>
  <c r="T77" i="11"/>
  <c r="X77" i="11"/>
  <c r="Z77" i="11" s="1"/>
  <c r="T25" i="11"/>
  <c r="X25" i="11"/>
  <c r="Z25" i="11" s="1"/>
  <c r="T81" i="11"/>
  <c r="X81" i="11"/>
  <c r="Z81" i="11" s="1"/>
  <c r="T56" i="11"/>
  <c r="X56" i="11"/>
  <c r="Z56" i="11" s="1"/>
  <c r="T59" i="11"/>
  <c r="X59" i="11"/>
  <c r="Z59" i="11" s="1"/>
  <c r="T47" i="11"/>
  <c r="X47" i="11"/>
  <c r="Z47" i="11" s="1"/>
  <c r="T35" i="11"/>
  <c r="X35" i="11"/>
  <c r="Z35" i="11" s="1"/>
  <c r="AG82" i="11"/>
  <c r="AG8" i="11" l="1"/>
  <c r="Z54" i="11"/>
  <c r="AG9" i="11"/>
  <c r="AG45" i="11"/>
  <c r="AG5" i="11"/>
  <c r="AG10" i="11"/>
  <c r="AG63" i="11"/>
  <c r="AG42" i="11"/>
  <c r="AG6" i="11"/>
  <c r="AG51" i="11"/>
  <c r="AG87" i="11"/>
  <c r="AG44" i="11"/>
  <c r="AG41" i="11"/>
  <c r="AG36" i="11"/>
  <c r="AG54" i="11"/>
  <c r="AG65" i="11"/>
  <c r="AG27" i="11"/>
  <c r="AG23" i="11"/>
  <c r="AG24" i="11"/>
  <c r="AG32" i="11"/>
  <c r="AG43" i="11"/>
  <c r="AG16" i="11"/>
  <c r="AG7" i="11"/>
  <c r="AG25" i="11"/>
  <c r="AG79" i="11"/>
  <c r="AG85" i="11"/>
  <c r="AG66" i="11"/>
  <c r="AG11" i="11"/>
  <c r="AG57" i="11"/>
  <c r="AG14" i="11"/>
  <c r="AG26" i="11"/>
  <c r="AG62" i="11"/>
  <c r="AG48" i="11"/>
  <c r="AG84" i="11"/>
  <c r="AG21" i="11"/>
  <c r="AG35" i="11"/>
  <c r="AG15" i="11"/>
  <c r="AG61" i="11"/>
  <c r="AG69" i="11"/>
  <c r="AG46" i="11"/>
  <c r="AG47" i="11"/>
  <c r="AG30" i="11"/>
  <c r="AG52" i="11"/>
  <c r="AG37" i="11"/>
  <c r="AG12" i="11"/>
  <c r="AG19" i="11"/>
  <c r="AG50" i="11"/>
  <c r="AG72" i="11"/>
  <c r="AG31" i="11"/>
  <c r="AG33" i="11"/>
  <c r="AG20" i="11"/>
  <c r="AG28" i="11"/>
  <c r="AG39" i="11"/>
  <c r="AG58" i="11"/>
  <c r="AG34" i="11"/>
  <c r="AG77" i="11"/>
  <c r="AG81" i="11"/>
  <c r="AG38" i="11"/>
  <c r="AG22" i="11"/>
  <c r="AG83" i="11"/>
  <c r="AG53" i="11"/>
  <c r="AG71" i="11"/>
  <c r="AG68" i="11"/>
  <c r="AG75" i="11"/>
  <c r="AG56" i="11"/>
  <c r="AG18" i="11"/>
  <c r="AG59" i="11"/>
  <c r="AG67" i="11"/>
  <c r="AG29" i="11"/>
  <c r="AG74" i="11"/>
  <c r="AG89" i="11"/>
  <c r="AG40" i="11"/>
  <c r="AG64" i="11"/>
  <c r="AG49" i="11"/>
  <c r="AG13" i="11"/>
  <c r="AG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Lambe, Diana</author>
  </authors>
  <commentList>
    <comment ref="V11" authorId="0" shapeId="0" xr:uid="{C2BCBFAB-7759-42DC-96F6-01C11759664F}">
      <text>
        <r>
          <rPr>
            <sz val="9"/>
            <color indexed="81"/>
            <rFont val="Tahoma"/>
            <family val="2"/>
          </rPr>
          <t xml:space="preserve">Change confirmed by letter from CMS &amp; Hospital Intermediary
</t>
        </r>
      </text>
    </comment>
    <comment ref="U12" authorId="0" shapeId="0" xr:uid="{C0583483-BCB5-4007-8C1B-CB34A164BF89}">
      <text>
        <r>
          <rPr>
            <sz val="9"/>
            <color indexed="81"/>
            <rFont val="Tahoma"/>
            <family val="2"/>
          </rPr>
          <t>State Teaching Hospital paid through legislature</t>
        </r>
        <r>
          <rPr>
            <b/>
            <sz val="9"/>
            <color indexed="81"/>
            <rFont val="Tahoma"/>
            <family val="2"/>
          </rPr>
          <t xml:space="preserve">
</t>
        </r>
      </text>
    </comment>
    <comment ref="U20" authorId="0" shapeId="0" xr:uid="{987E3E9F-357B-47E5-92DE-3C12B8CFD48C}">
      <text>
        <r>
          <rPr>
            <sz val="9"/>
            <color indexed="81"/>
            <rFont val="Tahoma"/>
            <family val="2"/>
          </rPr>
          <t>State Teaching Hospital paid through legislature</t>
        </r>
      </text>
    </comment>
    <comment ref="V20" authorId="0" shapeId="0" xr:uid="{D6A8F9F9-538B-46E0-91CA-B336067AFF0B}">
      <text>
        <r>
          <rPr>
            <sz val="9"/>
            <color indexed="81"/>
            <rFont val="Tahoma"/>
            <family val="2"/>
          </rPr>
          <t xml:space="preserve">Change confirmed by letter from CMS &amp; Hospital Intermediary
</t>
        </r>
      </text>
    </comment>
    <comment ref="W20" authorId="0" shapeId="0" xr:uid="{FB189649-E988-4C16-838D-79E387FC2978}">
      <text>
        <r>
          <rPr>
            <sz val="9"/>
            <color indexed="81"/>
            <rFont val="Tahoma"/>
            <family val="2"/>
          </rPr>
          <t xml:space="preserve">Change confirmed by letter from CMS &amp; Hospital Intermediary
</t>
        </r>
      </text>
    </comment>
    <comment ref="V36" authorId="0" shapeId="0" xr:uid="{5E426591-9B45-42F5-A5A8-2981F9811712}">
      <text>
        <r>
          <rPr>
            <sz val="11"/>
            <color theme="1"/>
            <rFont val="Calibri"/>
            <family val="2"/>
            <scheme val="minor"/>
          </rPr>
          <t xml:space="preserve">Change confirmed by letter from CMS &amp; Hospital Intermediary
</t>
        </r>
      </text>
    </comment>
    <comment ref="W36" authorId="0" shapeId="0" xr:uid="{AAB48A2A-69F4-48D5-B6A6-7966A71E3C92}">
      <text>
        <r>
          <rPr>
            <sz val="11"/>
            <color theme="1"/>
            <rFont val="Calibri"/>
            <family val="2"/>
            <scheme val="minor"/>
          </rPr>
          <t xml:space="preserve">Change confirmed by letter from CMS &amp; Hospital Intermediary
</t>
        </r>
      </text>
    </comment>
    <comment ref="M39" authorId="0" shapeId="0" xr:uid="{4AD3DE83-BE61-44E5-BAC8-16D2D5AAC5FA}">
      <text>
        <r>
          <rPr>
            <b/>
            <sz val="9"/>
            <color indexed="81"/>
            <rFont val="Tahoma"/>
            <family val="2"/>
          </rPr>
          <t xml:space="preserve">Not a meaningful E H R user
</t>
        </r>
      </text>
    </comment>
    <comment ref="O39" authorId="0" shapeId="0" xr:uid="{5D9E6089-533B-4C31-A4BE-56FA1470C53F}">
      <text>
        <r>
          <rPr>
            <b/>
            <sz val="9"/>
            <color indexed="81"/>
            <rFont val="Tahoma"/>
            <family val="2"/>
          </rPr>
          <t>Not a meaninful E H R user</t>
        </r>
        <r>
          <rPr>
            <sz val="9"/>
            <color indexed="81"/>
            <rFont val="Tahoma"/>
            <family val="2"/>
          </rPr>
          <t xml:space="preserve">
</t>
        </r>
      </text>
    </comment>
    <comment ref="Z65" authorId="0" shapeId="0" xr:uid="{951880A0-1077-4B86-95E6-83278377803E}">
      <text>
        <r>
          <rPr>
            <sz val="9"/>
            <color indexed="81"/>
            <rFont val="Tahoma"/>
            <family val="2"/>
          </rPr>
          <t xml:space="preserve">Non-PPS hospital IME calculated by the State
</t>
        </r>
      </text>
    </comment>
    <comment ref="Z88" authorId="0" shapeId="0" xr:uid="{77F04FC9-7B74-497C-B40E-AF81D43731A9}">
      <text>
        <r>
          <rPr>
            <sz val="9"/>
            <color indexed="81"/>
            <rFont val="Tahoma"/>
            <family val="2"/>
          </rPr>
          <t>Non-PPS hospital IME calculated by the State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Lambe, Diana</author>
  </authors>
  <commentList>
    <comment ref="W9" authorId="0" shapeId="0" xr:uid="{3EA85F93-F9CD-4B90-8C84-DCA7B1C4B7D6}">
      <text>
        <r>
          <rPr>
            <sz val="9"/>
            <color indexed="81"/>
            <rFont val="Tahoma"/>
            <family val="2"/>
          </rPr>
          <t>Change confirmed by letter from CMS &amp; Hospital Intermediary</t>
        </r>
      </text>
    </comment>
    <comment ref="W18" authorId="0" shapeId="0" xr:uid="{DA484E7E-B5A6-4944-81B3-33EA697C8B6D}">
      <text>
        <r>
          <rPr>
            <sz val="9"/>
            <color indexed="81"/>
            <rFont val="Tahoma"/>
            <family val="2"/>
          </rPr>
          <t xml:space="preserve">Change confirmed by letter from CMS &amp; Hospital Intermediary
</t>
        </r>
      </text>
    </comment>
    <comment ref="X18" authorId="0" shapeId="0" xr:uid="{A0E56278-8943-43B4-97FB-A3028B54B045}">
      <text>
        <r>
          <rPr>
            <sz val="9"/>
            <color indexed="81"/>
            <rFont val="Tahoma"/>
            <family val="2"/>
          </rPr>
          <t xml:space="preserve">Change confirmed by letter from CMS &amp; Hospital Intermediary
</t>
        </r>
      </text>
    </comment>
    <comment ref="W34" authorId="0" shapeId="0" xr:uid="{BAC8A47F-8265-4B73-A738-EF74B7D9EEA8}">
      <text>
        <r>
          <rPr>
            <sz val="11"/>
            <color theme="1"/>
            <rFont val="Calibri"/>
            <family val="2"/>
            <scheme val="minor"/>
          </rPr>
          <t xml:space="preserve">Change confirmed by letter from CMS &amp; Hospital Intermediary
</t>
        </r>
      </text>
    </comment>
    <comment ref="X34" authorId="0" shapeId="0" xr:uid="{F65EC987-5D64-4B51-851E-F666FE4B7ACF}">
      <text>
        <r>
          <rPr>
            <sz val="11"/>
            <color theme="1"/>
            <rFont val="Calibri"/>
            <family val="2"/>
            <scheme val="minor"/>
          </rPr>
          <t xml:space="preserve">Change confirmed by letter from CMS &amp; Hospital Intermediary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CDA39DB-3CDE-43EB-837E-09B69095AA54}" keepAlive="1" name="Query - Hospital List" description="Connection to the 'Hospital List' query in the workbook." type="5" refreshedVersion="8" background="1" saveData="1">
    <dbPr connection="Provider=Microsoft.Mashup.OleDb.1;Data Source=$Workbook$;Location=&quot;Hospital List&quot;;Extended Properties=&quot;&quot;" command="SELECT * FROM [Hospital List]"/>
  </connection>
</connections>
</file>

<file path=xl/sharedStrings.xml><?xml version="1.0" encoding="utf-8"?>
<sst xmlns="http://schemas.openxmlformats.org/spreadsheetml/2006/main" count="3047" uniqueCount="781">
  <si>
    <t>INPATIENT BASE RATE DATA SOURCES &amp; METHODS</t>
  </si>
  <si>
    <r>
      <t xml:space="preserve">Data Point / Series of Calculations
</t>
    </r>
    <r>
      <rPr>
        <sz val="11"/>
        <color theme="1"/>
        <rFont val="Calibri"/>
        <family val="2"/>
        <scheme val="minor"/>
      </rPr>
      <t>(Live Link to Source where applicable)</t>
    </r>
  </si>
  <si>
    <t>Specific Details regarding the data elements used in building Inpatient Hospital Base Rates and the methods to arrive at final rates</t>
  </si>
  <si>
    <t>30-Day Review Status</t>
  </si>
  <si>
    <t>Sources:  FY 2025 CMS Impact File CN / Table 1A-1E, Tables 15 &amp; 16B Interim Final Action w/Comment File (IFC) and Correcting Amendment File where applicable</t>
  </si>
  <si>
    <r>
      <rPr>
        <b/>
        <sz val="12"/>
        <color theme="1"/>
        <rFont val="Calibri"/>
        <family val="2"/>
        <scheme val="minor"/>
      </rPr>
      <t>Medicare Labor-related amount</t>
    </r>
    <r>
      <rPr>
        <sz val="12"/>
        <color theme="1"/>
        <rFont val="Calibri"/>
        <family val="2"/>
        <scheme val="minor"/>
      </rPr>
      <t xml:space="preserve">  (Source: Table 1A-1E Interim Final Action w/Comment (IFC) FY2025)</t>
    </r>
  </si>
  <si>
    <t>Closed after 1st 30-day Review</t>
  </si>
  <si>
    <r>
      <rPr>
        <b/>
        <sz val="12"/>
        <color theme="1"/>
        <rFont val="Calibri"/>
        <family val="2"/>
        <scheme val="minor"/>
      </rPr>
      <t>Wage Index</t>
    </r>
    <r>
      <rPr>
        <sz val="12"/>
        <color theme="1"/>
        <rFont val="Calibri"/>
        <family val="2"/>
        <scheme val="minor"/>
      </rPr>
      <t xml:space="preserve"> (Source Impact File - FY 2025 - Non_PPS Hospital Wage Index=1)</t>
    </r>
  </si>
  <si>
    <r>
      <rPr>
        <b/>
        <sz val="12"/>
        <color theme="1"/>
        <rFont val="Calibri"/>
        <family val="2"/>
        <scheme val="minor"/>
      </rPr>
      <t>Medicare Non-labor Related Amount</t>
    </r>
    <r>
      <rPr>
        <sz val="12"/>
        <color theme="1"/>
        <rFont val="Calibri"/>
        <family val="2"/>
        <scheme val="minor"/>
      </rPr>
      <t xml:space="preserve"> (Source: Table 1A-1E FY 2025)</t>
    </r>
  </si>
  <si>
    <r>
      <rPr>
        <b/>
        <sz val="12"/>
        <color theme="1"/>
        <rFont val="Calibri"/>
        <family val="2"/>
        <scheme val="minor"/>
      </rPr>
      <t>Federal Capital Rate</t>
    </r>
    <r>
      <rPr>
        <sz val="12"/>
        <color theme="1"/>
        <rFont val="Calibri"/>
        <family val="2"/>
        <scheme val="minor"/>
      </rPr>
      <t xml:space="preserve"> (Source:  FY 2025 CN Tables 1A-1E)</t>
    </r>
  </si>
  <si>
    <r>
      <rPr>
        <b/>
        <sz val="12"/>
        <color theme="1"/>
        <rFont val="Calibri"/>
        <family val="2"/>
        <scheme val="minor"/>
      </rPr>
      <t>Geographic Adjustment Factor (GAF)</t>
    </r>
    <r>
      <rPr>
        <sz val="12"/>
        <color theme="1"/>
        <rFont val="Calibri"/>
        <family val="2"/>
        <scheme val="minor"/>
      </rPr>
      <t xml:space="preserve">  (Source Impact File - FY 2025)
Non-PPS Hopital GAF=1</t>
    </r>
  </si>
  <si>
    <r>
      <rPr>
        <b/>
        <sz val="12"/>
        <color theme="1"/>
        <rFont val="Calibri"/>
        <family val="2"/>
        <scheme val="minor"/>
      </rPr>
      <t>Operating Indirect Medical Education (IME) %</t>
    </r>
    <r>
      <rPr>
        <sz val="12"/>
        <color theme="1"/>
        <rFont val="Calibri"/>
        <family val="2"/>
        <scheme val="minor"/>
      </rPr>
      <t xml:space="preserve">  (Source Impact File -FY 2025: "TCHOP")</t>
    </r>
  </si>
  <si>
    <r>
      <rPr>
        <b/>
        <sz val="12"/>
        <color theme="1"/>
        <rFont val="Calibri"/>
        <family val="2"/>
        <scheme val="minor"/>
      </rPr>
      <t>Capital IME %</t>
    </r>
    <r>
      <rPr>
        <sz val="12"/>
        <color theme="1"/>
        <rFont val="Calibri"/>
        <family val="2"/>
        <scheme val="minor"/>
      </rPr>
      <t xml:space="preserve">  (Source Impact File - FY 2025:  "TCHCP")</t>
    </r>
  </si>
  <si>
    <r>
      <rPr>
        <b/>
        <u/>
        <sz val="12"/>
        <rFont val="Calibri"/>
        <family val="2"/>
        <scheme val="minor"/>
      </rPr>
      <t>Value Based Purchasing (VBP) Adjustment Factor</t>
    </r>
    <r>
      <rPr>
        <u/>
        <sz val="12"/>
        <rFont val="Calibri"/>
        <family val="2"/>
        <scheme val="minor"/>
      </rPr>
      <t xml:space="preserve"> (Table 16B) FY 2025   Hospital Value-Based Purchasing (VBP) </t>
    </r>
  </si>
  <si>
    <r>
      <rPr>
        <b/>
        <sz val="12"/>
        <color theme="1"/>
        <rFont val="Calibri"/>
        <family val="2"/>
        <scheme val="minor"/>
      </rPr>
      <t xml:space="preserve">Readmission Factor </t>
    </r>
    <r>
      <rPr>
        <sz val="12"/>
        <color theme="1"/>
        <rFont val="Calibri"/>
        <family val="2"/>
        <scheme val="minor"/>
      </rPr>
      <t>(Table 15) FY 2025 Hospital Readmissions Reduction Program Payment Adjustment Factors:  Contains the actual payment adjustment factors under the Hospital VBP Program for FY 2025. These actual factors are based on the finalized baseline and performance period for FY 2025 and will be used to adjust base operating DRG payments to eligible hospitals for discharges occurring in FY 2025. (Updated 12/2/2024).</t>
    </r>
  </si>
  <si>
    <r>
      <rPr>
        <b/>
        <sz val="12"/>
        <color theme="1"/>
        <rFont val="Calibri"/>
        <family val="2"/>
        <scheme val="minor"/>
      </rPr>
      <t>Provider Type:</t>
    </r>
    <r>
      <rPr>
        <sz val="12"/>
        <color theme="1"/>
        <rFont val="Calibri"/>
        <family val="2"/>
        <scheme val="minor"/>
      </rPr>
      <t xml:space="preserve">  Specifically for SCH/MDH hospitals to apply SCH/MDH add-ons.</t>
    </r>
  </si>
  <si>
    <r>
      <rPr>
        <b/>
        <sz val="12"/>
        <color theme="1"/>
        <rFont val="Calibri"/>
        <family val="2"/>
        <scheme val="minor"/>
      </rPr>
      <t xml:space="preserve">Proxy Quality Reduction: </t>
    </r>
    <r>
      <rPr>
        <sz val="12"/>
        <color theme="1"/>
        <rFont val="Calibri"/>
        <family val="2"/>
        <scheme val="minor"/>
      </rPr>
      <t xml:space="preserve"> Value of '1' indicates a hospital that was found not to have successfully reported designated quality measures under the Hospital Inpatient Quality Reporting (IQR) Program as shown in the March 2024 update of the Provider Specific File (PSF), and therefore was modeled as receiving a reduction to the percentage increase in the market basket index for FY 2025 under §412.64(d)(2). (Note, this variable will not reflect any subsequent adjustments, if any, to this indicator made in the PSF, and may not reflect the hospital’s final determination under the hospital IQR program.)</t>
    </r>
  </si>
  <si>
    <r>
      <rPr>
        <b/>
        <sz val="12"/>
        <color theme="1"/>
        <rFont val="Calibri"/>
        <family val="2"/>
        <scheme val="minor"/>
      </rPr>
      <t>Proxy EHR Reduction:</t>
    </r>
    <r>
      <rPr>
        <sz val="12"/>
        <color theme="1"/>
        <rFont val="Calibri"/>
        <family val="2"/>
        <scheme val="minor"/>
      </rPr>
      <t xml:space="preserve">  Value of '1' indicates a hospital that was found not to be a meaningful electronic health record (EHR) user for the applicable EHR reporting period and did not receive an exception as shown in the March 2024 update of the Provider Specific File (PSF), and therefore was modeled as receiving a reduction to the percentage increase in the market basket index for FY 2025 under §§ 412.64(d)(3)-(4). (Note, this variable will not reflect any subsequent adjustments, if any, to this indicator made in the PSF, and may not reflect the hospital’s final determination under the Promoting Interoperability Program.)</t>
    </r>
  </si>
  <si>
    <t>Concatenated Field: Proxy Quality Reduction &amp; Proxy E H R Reductions
(BEx+BFx)</t>
  </si>
  <si>
    <r>
      <rPr>
        <b/>
        <sz val="12"/>
        <color theme="1"/>
        <rFont val="Calibri"/>
        <family val="2"/>
        <scheme val="minor"/>
      </rPr>
      <t>HCPF Created Field</t>
    </r>
    <r>
      <rPr>
        <sz val="12"/>
        <color theme="1"/>
        <rFont val="Calibri"/>
        <family val="2"/>
        <scheme val="minor"/>
      </rPr>
      <t xml:space="preserve"> which concatenates the two Proxy Quality Reduction &amp; Proxy E H R Reduction fields together to assign Table 1A-IE for PPS hospitals who failed to provide quality data and quality Electronic Health Records
(Columns BE+BF in worksheet "FY 2025 IMPACT FILE IFC")</t>
    </r>
  </si>
  <si>
    <t>CMS.gov Data Set:  Hospital-Acquired Condition (HAC) Reduction Program</t>
  </si>
  <si>
    <r>
      <rPr>
        <b/>
        <sz val="12"/>
        <rFont val="Calibri"/>
        <family val="2"/>
        <scheme val="minor"/>
      </rPr>
      <t>Hospital-Acquired Condition (HAC) Payment Reduction 2025</t>
    </r>
    <r>
      <rPr>
        <sz val="12"/>
        <rFont val="Calibri"/>
        <family val="2"/>
        <scheme val="minor"/>
      </rPr>
      <t xml:space="preserve">
(CMS.gov Data Set) </t>
    </r>
  </si>
  <si>
    <t>2nd 30-day review begins:</t>
  </si>
  <si>
    <t>Mututally Exclusive Add-Ons (4)</t>
  </si>
  <si>
    <r>
      <rPr>
        <b/>
        <sz val="12"/>
        <rFont val="Calibri"/>
        <family val="2"/>
        <scheme val="minor"/>
      </rPr>
      <t>Mutually exclusive add-on 1</t>
    </r>
    <r>
      <rPr>
        <sz val="12"/>
        <rFont val="Calibri"/>
        <family val="2"/>
        <scheme val="minor"/>
      </rPr>
      <t xml:space="preserve">: </t>
    </r>
    <r>
      <rPr>
        <b/>
        <sz val="12"/>
        <rFont val="Calibri"/>
        <family val="2"/>
        <scheme val="minor"/>
      </rPr>
      <t xml:space="preserve"> Critical Access Hospital (CAH)</t>
    </r>
    <r>
      <rPr>
        <sz val="12"/>
        <rFont val="Calibri"/>
        <family val="2"/>
        <scheme val="minor"/>
      </rPr>
      <t xml:space="preserve"> (Hospitals with first 4 digit in CCN = 0613.  Excludes SCH/MDH, Low Discharge &amp; Pediatric) </t>
    </r>
  </si>
  <si>
    <r>
      <rPr>
        <b/>
        <sz val="12"/>
        <rFont val="Calibri"/>
        <family val="2"/>
        <scheme val="minor"/>
      </rPr>
      <t>Mutually exclusive add-on 2:</t>
    </r>
    <r>
      <rPr>
        <sz val="12"/>
        <rFont val="Calibri"/>
        <family val="2"/>
        <scheme val="minor"/>
      </rPr>
      <t xml:space="preserve">  </t>
    </r>
    <r>
      <rPr>
        <b/>
        <sz val="12"/>
        <rFont val="Calibri"/>
        <family val="2"/>
        <scheme val="minor"/>
      </rPr>
      <t>Sole Community Hospital (SCH)/Mediare Dependent Hospital (MDH)</t>
    </r>
    <r>
      <rPr>
        <sz val="12"/>
        <rFont val="Calibri"/>
        <family val="2"/>
        <scheme val="minor"/>
      </rPr>
      <t xml:space="preserve"> (excludes CAH, Low Discharge &amp; Pediatric)</t>
    </r>
  </si>
  <si>
    <t>Link to HCRIS Discharge Data</t>
  </si>
  <si>
    <r>
      <rPr>
        <b/>
        <sz val="12"/>
        <color theme="1"/>
        <rFont val="Calibri"/>
        <family val="2"/>
        <scheme val="minor"/>
      </rPr>
      <t>Mutually exclusive add-on 3:</t>
    </r>
    <r>
      <rPr>
        <sz val="12"/>
        <color theme="1"/>
        <rFont val="Calibri"/>
        <family val="2"/>
        <scheme val="minor"/>
      </rPr>
      <t xml:space="preserve">  </t>
    </r>
    <r>
      <rPr>
        <b/>
        <sz val="12"/>
        <color theme="1"/>
        <rFont val="Calibri"/>
        <family val="2"/>
        <scheme val="minor"/>
      </rPr>
      <t>Low Discharge Add-on</t>
    </r>
    <r>
      <rPr>
        <sz val="12"/>
        <color theme="1"/>
        <rFont val="Calibri"/>
        <family val="2"/>
        <scheme val="minor"/>
      </rPr>
      <t xml:space="preserve"> (Source:  3 yr avg Total Discharges based on cost reports available as of the end of the first full week in January of rebasing years.)  </t>
    </r>
    <r>
      <rPr>
        <b/>
        <sz val="12"/>
        <color theme="1"/>
        <rFont val="Calibri"/>
        <family val="2"/>
        <scheme val="minor"/>
      </rPr>
      <t>Total Discharges</t>
    </r>
    <r>
      <rPr>
        <sz val="12"/>
        <color theme="1"/>
        <rFont val="Calibri"/>
        <family val="2"/>
        <scheme val="minor"/>
      </rPr>
      <t xml:space="preserve"> - includes psych and rehab unit &amp; other subunit discharges for hospitals with those subunits) (excludes CAH, SCH/MDH &amp; Pediatric) and specifically taken from Hospital Form 2552-10, Worksheet S-3, Part I, Col. 15_Lines 14, 16 and 17, and 18.</t>
    </r>
  </si>
  <si>
    <r>
      <rPr>
        <b/>
        <sz val="12"/>
        <rFont val="Calibri"/>
        <family val="2"/>
        <scheme val="minor"/>
      </rPr>
      <t>Mututally exclusive add-on 4:</t>
    </r>
    <r>
      <rPr>
        <sz val="12"/>
        <rFont val="Calibri"/>
        <family val="2"/>
        <scheme val="minor"/>
      </rPr>
      <t xml:space="preserve">  Pediatric hospital add-on (Hospitals with first 4 digit in CCN = 0633. excludes CAH, SCH/MDH &amp; Low Discharge)</t>
    </r>
  </si>
  <si>
    <t>Link to Payer Mix Tab which is a Medicaid Add-on Open to All Hospitals</t>
  </si>
  <si>
    <r>
      <rPr>
        <b/>
        <sz val="12"/>
        <color theme="1"/>
        <rFont val="Calibri"/>
        <family val="2"/>
        <scheme val="minor"/>
      </rPr>
      <t>Payer Mix Add-on</t>
    </r>
    <r>
      <rPr>
        <sz val="12"/>
        <color theme="1"/>
        <rFont val="Calibri"/>
        <family val="2"/>
        <scheme val="minor"/>
      </rPr>
      <t xml:space="preserve">  (Source:  3 yr avg Medicaid Payer Mix based on HCRIS cost reports available as of the end of the first full week in January of rebasing years)
    </t>
    </r>
    <r>
      <rPr>
        <b/>
        <sz val="12"/>
        <color theme="1"/>
        <rFont val="Calibri"/>
        <family val="2"/>
        <scheme val="minor"/>
      </rPr>
      <t>Medicaid Days: </t>
    </r>
    <r>
      <rPr>
        <sz val="12"/>
        <color theme="1"/>
        <rFont val="Calibri"/>
        <family val="2"/>
        <scheme val="minor"/>
      </rPr>
      <t xml:space="preserve">  From Cost Report Form 2552-10, Worksheet S-3, Part I, Col. 7_Lines 2, 3, 4, 14, 16 (Psych) and 17 (Rehab), and 18 (other subunits) divided by
    </t>
    </r>
    <r>
      <rPr>
        <b/>
        <sz val="12"/>
        <color theme="1"/>
        <rFont val="Calibri"/>
        <family val="2"/>
        <scheme val="minor"/>
      </rPr>
      <t>Total Days:</t>
    </r>
    <r>
      <rPr>
        <sz val="12"/>
        <color theme="1"/>
        <rFont val="Calibri"/>
        <family val="2"/>
        <scheme val="minor"/>
      </rPr>
      <t>   From Cost Report Form 2552-10, Worksheet S-3, Part I, Col. 8 Lines 14, 16 and 17, and 18.</t>
    </r>
  </si>
  <si>
    <t>Link to Solvency Metric Calculations which contains System hospital list and is a Medicaid Add-On Open to All Hospitals</t>
  </si>
  <si>
    <r>
      <rPr>
        <b/>
        <sz val="12"/>
        <rFont val="Calibri"/>
        <family val="2"/>
        <scheme val="minor"/>
      </rPr>
      <t>Solvency Metric:</t>
    </r>
    <r>
      <rPr>
        <sz val="12"/>
        <rFont val="Calibri"/>
        <family val="2"/>
        <scheme val="minor"/>
      </rPr>
      <t xml:space="preserve">  Operating Cash Flow Margin Percent Add-on (also known as solvency metric) is set at 20% with a ceiling of 8% and floor of 0%. The source for this data is up to 3 years of Hospital Transparency Data that is generated by each hospital and sent into the Department.   The Operating Cash Flow Margin Percent Add-on is calculated for all hospitals and is based on the maximum of the hospital or the hospital system’s operating cash flow margin percent.   </t>
    </r>
    <r>
      <rPr>
        <b/>
        <sz val="12"/>
        <rFont val="Calibri"/>
        <family val="2"/>
        <scheme val="minor"/>
      </rPr>
      <t>System hospital list can be found on the Department's website in this model document.</t>
    </r>
    <r>
      <rPr>
        <sz val="12"/>
        <rFont val="Calibri"/>
        <family val="2"/>
        <scheme val="minor"/>
      </rPr>
      <t xml:space="preserve">  Operating Cash Flow Margin Percent is calculated by taking (Total Operating Net Income +  Depreciation Expense) / Total Operating Revenue.</t>
    </r>
  </si>
  <si>
    <t>IME for Non-PPS Hospitals &amp; GME Cost Add-on</t>
  </si>
  <si>
    <r>
      <t xml:space="preserve">Link to the left will take you to the tab for "GME Add-On Posting" and right next to it is the tab containing "Non-PPS IME Add-on Posting" contained within this workbook.   Below are the portions in the Colorado Code of Regulations that detail the requirements to have  IME for Non-PPS Hospitals calculated along with what is required for GME Cost Add-ons:
</t>
    </r>
    <r>
      <rPr>
        <b/>
        <sz val="12"/>
        <rFont val="Calibri"/>
        <family val="2"/>
        <scheme val="minor"/>
      </rPr>
      <t>8.300.5.A.3.b.2</t>
    </r>
    <r>
      <rPr>
        <sz val="12"/>
        <rFont val="Calibri"/>
        <family val="2"/>
        <scheme val="minor"/>
      </rPr>
      <t xml:space="preserve">:  For non-PPS hospitals, Operating &amp; Capital IME % are not calculated in the IMPACT File so the Department’s Contractor will compute their Operating and Capital IME using the most recently available cost report as of the end of the first full week of January in rebasing years and will require that hospitals have a CMS approved teaching program as detailed in Section 8.300.5.A.3.e. 
</t>
    </r>
    <r>
      <rPr>
        <b/>
        <sz val="12"/>
        <rFont val="Calibri"/>
        <family val="2"/>
        <scheme val="minor"/>
      </rPr>
      <t>8.300.5.A.3.e:</t>
    </r>
    <r>
      <rPr>
        <sz val="12"/>
        <rFont val="Calibri"/>
        <family val="2"/>
        <scheme val="minor"/>
      </rPr>
      <t xml:space="preserve">  The GME Medicaid hospital-specific cost add-on shall be an estimate of the cost per discharge for GME based on: Medicare approved GME program where legitimate GME expenses have been reported in accordance with Medicare's rules detailed in 42 C.F.R. § 413.75, et. seq.  GME will be calculated when the following two criteria are met:  
  i.    Hospitals that appear on the most recent list as of end of the first full week of January of CMS qualified teaching hospitals on the CMS Open Payments website or the hospital will need to provide documentation to the State by proving Medicare approval of the GME program.  
  ii.   Have countable GME costs in the most recent HCRIS cost report available as of end of the first full week of January of rebasing years in worksheet B, part 1 and discharges from worksheet S-3, part I. </t>
    </r>
  </si>
  <si>
    <t>Process for GME &amp; Non-PPS IME Process for 7/1/2025</t>
  </si>
  <si>
    <r>
      <t xml:space="preserve">Myers &amp; Stauffer (M&amp;S) will prepare the Operating IME Ratio &amp; Capital IME Ratio calculations for non-PPS hospitals along with their regular work in creating the Medicaid GME add-on.  In order to ensure the most timely information is used, Myers &amp; Stauffer will be pulling the most recently available cost reports as of the end of the first full week in January of rebasing years to compute both IME for non-PPS Hospitals and GME for all hospitals.   </t>
    </r>
    <r>
      <rPr>
        <sz val="12"/>
        <rFont val="Calibri"/>
        <family val="2"/>
        <scheme val="minor"/>
      </rPr>
      <t>Hospitals do not have to send in any documents at all anymore.</t>
    </r>
  </si>
  <si>
    <t>The process:</t>
  </si>
  <si>
    <t>For qualifying hospitals, Myers &amp; Stauffer will pull the most recently available cost report as of the end of the first full week in Jauary of rebasing years</t>
  </si>
  <si>
    <t>They will calculate both IME for Non-PPS Hospitals using the calculations in this workbook and the GME Cost per Discharge as done previously</t>
  </si>
  <si>
    <t>The Department will send out an email and deposit a workbook for hospitals to review the resulting calculations within approximately 10 days after receipt of file from Myers &amp; Stauffer</t>
  </si>
  <si>
    <t xml:space="preserve">Hospitals will have from March 15 thru April 15 (30 days) to review the calculations and communicate with Myers &amp; Stauffer regarding any adjustments/changes necessary </t>
  </si>
  <si>
    <t>After the IME/GME calculations are finalized, the Department will add the numbers to the Inpatient Hospital Base Rate Model</t>
  </si>
  <si>
    <t xml:space="preserve">Emails with questions regarding posted IME/GME calculations should be directed to: </t>
  </si>
  <si>
    <t>khoran@mslc.com</t>
  </si>
  <si>
    <t>Kelly Horan, Senior Manager, Myers and Stauffer LC, 6312 S. Fiddlers Green Circle STE 510N, Greenwood Village, CO 80111</t>
  </si>
  <si>
    <t>Questions regarding this process should be directed to:</t>
  </si>
  <si>
    <t>diana.lambe@state.co.us</t>
  </si>
  <si>
    <t>Diana Lambe, Inpatient Hospital Rates Analyst, Health Care Policy &amp; Financing, 303 E. 17th Avenue, Denver, CO  80203</t>
  </si>
  <si>
    <t xml:space="preserve"> Timeline</t>
  </si>
  <si>
    <t>Due Date</t>
  </si>
  <si>
    <t>Myers &amp; Stauffer pulls HCRIS most recently available cost reports as of the end of the first full week in January of each rebasing year</t>
  </si>
  <si>
    <t>M&amp;S performs calculations and have data available for delivery to Department</t>
  </si>
  <si>
    <t>The Department reviews and posts IME Ratios/GME cost per Discharge to website for hospital review</t>
  </si>
  <si>
    <t xml:space="preserve">30 Day IME/GME Hospital Review Period ends </t>
  </si>
  <si>
    <t>30-day review closed</t>
  </si>
  <si>
    <t>M&amp;S works with hospital responses to amend as necessary</t>
  </si>
  <si>
    <t xml:space="preserve">Department receives finalized IME/GME data to include in inpatient base rate model worksheet </t>
  </si>
  <si>
    <t>Definitions:</t>
  </si>
  <si>
    <t>Non-PPS Hospitals:  Medicare designated Critical Access and Pediatric Hospitals.</t>
  </si>
  <si>
    <t>GME:  Graduate Medical Education</t>
  </si>
  <si>
    <t>IME:  Indirect Medical Education</t>
  </si>
  <si>
    <t>GME COST PER DISCHARGE</t>
  </si>
  <si>
    <t>GME ADD-ON</t>
  </si>
  <si>
    <t>Informational</t>
  </si>
  <si>
    <t>Column Label:</t>
  </si>
  <si>
    <t>A</t>
  </si>
  <si>
    <t>B</t>
  </si>
  <si>
    <t>C</t>
  </si>
  <si>
    <t>D</t>
  </si>
  <si>
    <t>E</t>
  </si>
  <si>
    <t>F</t>
  </si>
  <si>
    <t>G</t>
  </si>
  <si>
    <t>H</t>
  </si>
  <si>
    <t>I</t>
  </si>
  <si>
    <t>J</t>
  </si>
  <si>
    <t>K</t>
  </si>
  <si>
    <t>L</t>
  </si>
  <si>
    <t>M</t>
  </si>
  <si>
    <t>N</t>
  </si>
  <si>
    <t>O</t>
  </si>
  <si>
    <t>Source:</t>
  </si>
  <si>
    <t>Link to List</t>
  </si>
  <si>
    <t xml:space="preserve">Most Recent Cost Report </t>
  </si>
  <si>
    <t xml:space="preserve">WS B Col 21-22 </t>
  </si>
  <si>
    <t xml:space="preserve">WS C Title XIX 
</t>
  </si>
  <si>
    <t xml:space="preserve">Calculated:
</t>
  </si>
  <si>
    <t>WS S-3 Pt I Col 15</t>
  </si>
  <si>
    <t xml:space="preserve">WS S-3 Pt I Col 8 </t>
  </si>
  <si>
    <t xml:space="preserve">WS S-3 Pt I </t>
  </si>
  <si>
    <t>Period on File in Jan 2025</t>
  </si>
  <si>
    <t>Ln 30-43</t>
  </si>
  <si>
    <t>Ln 50-77 &amp; 90-91</t>
  </si>
  <si>
    <t>Col 6 Ln 202</t>
  </si>
  <si>
    <t>Col 8 Ln 202</t>
  </si>
  <si>
    <t>G = E/F</t>
  </si>
  <si>
    <t>H = D*G</t>
  </si>
  <si>
    <t>I = C+H</t>
  </si>
  <si>
    <t xml:space="preserve"> Ln 14 &amp; 16-18</t>
  </si>
  <si>
    <t>K = I/J</t>
  </si>
  <si>
    <t>L = K*10%</t>
  </si>
  <si>
    <t>Ln 14 &amp; 16-18</t>
  </si>
  <si>
    <t>Col 8 Ln 32</t>
  </si>
  <si>
    <t>O = M+N</t>
  </si>
  <si>
    <t>Medicare</t>
  </si>
  <si>
    <t>CMS</t>
  </si>
  <si>
    <t>Cost</t>
  </si>
  <si>
    <t>Cost Report</t>
  </si>
  <si>
    <t>Total GME</t>
  </si>
  <si>
    <t xml:space="preserve">Total GME </t>
  </si>
  <si>
    <t>Inpatient</t>
  </si>
  <si>
    <t>GME</t>
  </si>
  <si>
    <t>10% of GME</t>
  </si>
  <si>
    <t>Routine and</t>
  </si>
  <si>
    <t>Labor and</t>
  </si>
  <si>
    <t>Total</t>
  </si>
  <si>
    <t>Provider</t>
  </si>
  <si>
    <t>Hospital Name</t>
  </si>
  <si>
    <t>System Ownership</t>
  </si>
  <si>
    <t>Teaching</t>
  </si>
  <si>
    <t>Report</t>
  </si>
  <si>
    <t>Period</t>
  </si>
  <si>
    <t>Routine</t>
  </si>
  <si>
    <t>Ancillary</t>
  </si>
  <si>
    <t>Charges</t>
  </si>
  <si>
    <t>Cost per</t>
  </si>
  <si>
    <t>Subprovider</t>
  </si>
  <si>
    <t>Delivery</t>
  </si>
  <si>
    <t>Patient</t>
  </si>
  <si>
    <t>Number</t>
  </si>
  <si>
    <t>Hospital?</t>
  </si>
  <si>
    <t>Start Date</t>
  </si>
  <si>
    <t>End Date</t>
  </si>
  <si>
    <t>Costs</t>
  </si>
  <si>
    <t>Ratio</t>
  </si>
  <si>
    <t>GME Costs</t>
  </si>
  <si>
    <t>Discharges</t>
  </si>
  <si>
    <t>Discharge</t>
  </si>
  <si>
    <t>Inpatient Days</t>
  </si>
  <si>
    <t>Days</t>
  </si>
  <si>
    <t>060001</t>
  </si>
  <si>
    <t>Y</t>
  </si>
  <si>
    <t>060010</t>
  </si>
  <si>
    <t>060011</t>
  </si>
  <si>
    <t>060012</t>
  </si>
  <si>
    <t>060014</t>
  </si>
  <si>
    <t>060015</t>
  </si>
  <si>
    <t>060020</t>
  </si>
  <si>
    <t>060022</t>
  </si>
  <si>
    <t>060023</t>
  </si>
  <si>
    <t>060024</t>
  </si>
  <si>
    <t>060028</t>
  </si>
  <si>
    <t>060031</t>
  </si>
  <si>
    <t>060032</t>
  </si>
  <si>
    <t>060034</t>
  </si>
  <si>
    <t>060065</t>
  </si>
  <si>
    <t>060100</t>
  </si>
  <si>
    <t>060104</t>
  </si>
  <si>
    <t>060107</t>
  </si>
  <si>
    <t>060112</t>
  </si>
  <si>
    <t>060119</t>
  </si>
  <si>
    <t>N*</t>
  </si>
  <si>
    <t>060129</t>
  </si>
  <si>
    <t>N**</t>
  </si>
  <si>
    <t>061309</t>
  </si>
  <si>
    <t>063301</t>
  </si>
  <si>
    <t>* Documentation has been provided to confirm Medicare-approved GME program.</t>
  </si>
  <si>
    <t>** Pending eligibility determination.</t>
  </si>
  <si>
    <t>OPERATING IME</t>
  </si>
  <si>
    <t>CAPITAL IME</t>
  </si>
  <si>
    <t>Total IME</t>
  </si>
  <si>
    <t>P</t>
  </si>
  <si>
    <t xml:space="preserve">       Most Recent Cost Report</t>
  </si>
  <si>
    <t>WS S-3 Part I Col 2</t>
  </si>
  <si>
    <t xml:space="preserve">WS S-3 Part I Col 9 </t>
  </si>
  <si>
    <t xml:space="preserve">Calculated: </t>
  </si>
  <si>
    <t>Updated by</t>
  </si>
  <si>
    <t xml:space="preserve">WS S-3 Part I Col 8 </t>
  </si>
  <si>
    <t>Calculated:
K = I/J</t>
  </si>
  <si>
    <t>Calculated: M =</t>
  </si>
  <si>
    <r>
      <rPr>
        <b/>
        <sz val="8"/>
        <rFont val="Arial"/>
        <family val="2"/>
      </rPr>
      <t>Calculated:</t>
    </r>
    <r>
      <rPr>
        <b/>
        <sz val="8"/>
        <color theme="8" tint="-0.499984740745262"/>
        <rFont val="Arial"/>
        <family val="2"/>
      </rPr>
      <t xml:space="preserve">
</t>
    </r>
  </si>
  <si>
    <t xml:space="preserve">       Period on File in Jan 2025</t>
  </si>
  <si>
    <t xml:space="preserve">   Ln 14 &amp; 16-18</t>
  </si>
  <si>
    <t>E = D/C</t>
  </si>
  <si>
    <t>F = 1.35*((1+E)^0.405-1)</t>
  </si>
  <si>
    <t>HCPF</t>
  </si>
  <si>
    <t>H = F*G</t>
  </si>
  <si>
    <t>J = B - (A-1)</t>
  </si>
  <si>
    <t>L = D/K</t>
  </si>
  <si>
    <t xml:space="preserve"> 2.71828^(0.2822*L)-1</t>
  </si>
  <si>
    <t>O = M*N</t>
  </si>
  <si>
    <t>P = H+O</t>
  </si>
  <si>
    <t>Intern and</t>
  </si>
  <si>
    <t>I&amp;R FTE</t>
  </si>
  <si>
    <t>Operating IME</t>
  </si>
  <si>
    <t>DRG Base</t>
  </si>
  <si>
    <t>Operating</t>
  </si>
  <si>
    <t>Days in</t>
  </si>
  <si>
    <t>Average</t>
  </si>
  <si>
    <t>Capital IME</t>
  </si>
  <si>
    <t>Capital</t>
  </si>
  <si>
    <t>Sum of Operating</t>
  </si>
  <si>
    <t>System</t>
  </si>
  <si>
    <t>Licensed</t>
  </si>
  <si>
    <t>Resident</t>
  </si>
  <si>
    <t>to Bed</t>
  </si>
  <si>
    <t>Adjustment</t>
  </si>
  <si>
    <t>IME</t>
  </si>
  <si>
    <t>Daily</t>
  </si>
  <si>
    <t>to ADC</t>
  </si>
  <si>
    <t>and Capital IME</t>
  </si>
  <si>
    <t xml:space="preserve"> Ownership</t>
  </si>
  <si>
    <t>Beds</t>
  </si>
  <si>
    <t xml:space="preserve"> (I&amp;R) FTE</t>
  </si>
  <si>
    <t>Factor</t>
  </si>
  <si>
    <t>Payment</t>
  </si>
  <si>
    <t>Amount</t>
  </si>
  <si>
    <t>Census (ADC)</t>
  </si>
  <si>
    <t>Adjustments</t>
  </si>
  <si>
    <t>Wray Community District Hospital</t>
  </si>
  <si>
    <t>Children's Hospital Colorado</t>
  </si>
  <si>
    <t>Childrens</t>
  </si>
  <si>
    <t>Process for CMS data 30-day Review Period rates effective 7/1/2025</t>
  </si>
  <si>
    <t>CMS Data 30-day Review period will be available for review in same GME/IME workbook posted on 3/17/2025 with any requested changes due by end of day 4/16/2025.</t>
  </si>
  <si>
    <t>What hospitals need to send to change data:</t>
  </si>
  <si>
    <r>
      <t>Hospitals will need to provide an email containing copies of letters from their Hospital Intermediary showing the incorrect data and the correction that will be used to adjust their hospital’s data points used in rate building to Diana Lambe and Andrew Abalos at </t>
    </r>
    <r>
      <rPr>
        <u/>
        <sz val="12"/>
        <color rgb="FF0000FF"/>
        <rFont val="Calibri"/>
        <family val="2"/>
        <scheme val="minor"/>
      </rPr>
      <t>diana.lambe@state.co.us</t>
    </r>
    <r>
      <rPr>
        <sz val="12"/>
        <color rgb="FF000000"/>
        <rFont val="Calibri"/>
        <family val="2"/>
        <scheme val="minor"/>
      </rPr>
      <t> and </t>
    </r>
    <r>
      <rPr>
        <u/>
        <sz val="12"/>
        <color rgb="FF0000FF"/>
        <rFont val="Calibri"/>
        <family val="2"/>
        <scheme val="minor"/>
      </rPr>
      <t>andrew.abalos@state.co.us</t>
    </r>
    <r>
      <rPr>
        <sz val="12"/>
        <color rgb="FF000000"/>
        <rFont val="Calibri"/>
        <family val="2"/>
        <scheme val="minor"/>
      </rPr>
      <t>. </t>
    </r>
    <r>
      <rPr>
        <sz val="12"/>
        <rFont val="Calibri"/>
        <family val="2"/>
        <scheme val="minor"/>
      </rPr>
      <t>​</t>
    </r>
  </si>
  <si>
    <t>​</t>
  </si>
  <si>
    <r>
      <t>Below are the specific data elements that hospitals can request a change if still incorrect after the final "correcting" files posted by CMS as of the end of the first full week in January have been posted. </t>
    </r>
    <r>
      <rPr>
        <sz val="12"/>
        <rFont val="Calibri"/>
        <family val="2"/>
        <scheme val="minor"/>
      </rPr>
      <t>​</t>
    </r>
  </si>
  <si>
    <t>Link to all data elements listed below together</t>
  </si>
  <si>
    <t>Medicare Labor-related amount​</t>
  </si>
  <si>
    <t>Wage Index ​</t>
  </si>
  <si>
    <t>Medicare Non-labor Related Amount ​</t>
  </si>
  <si>
    <t>Federal Capital Rate ​</t>
  </si>
  <si>
    <t>GAF (Geographic Adjustment Factor) ​</t>
  </si>
  <si>
    <t>Operating Indirect Medical Education (IME) % ​</t>
  </si>
  <si>
    <t>Capital IME %​</t>
  </si>
  <si>
    <t>Value Based Purchasing (VBP) Adjustment Factor ​</t>
  </si>
  <si>
    <t>Readmission Factor​</t>
  </si>
  <si>
    <t>Hospital-Acquired Condition (HAC) Payment Reduction​</t>
  </si>
  <si>
    <t>FFY 2025 CMS IMPACT FILE IFC</t>
  </si>
  <si>
    <t xml:space="preserve"> </t>
  </si>
  <si>
    <t>Link to FY 2025 IFC Table 1A-1E</t>
  </si>
  <si>
    <t>Link to GME Cost Add-on Worksheet</t>
  </si>
  <si>
    <t>Link to Calculated IME for Non-PPS Hospitals</t>
  </si>
  <si>
    <t>Link to Other Tables for VBP &amp; Readmission Amount</t>
  </si>
  <si>
    <t>Link to CMS Hospital-Acquired Condition (HAC) Reduction Program Dataset</t>
  </si>
  <si>
    <t>Medicare ID (3rd &amp; 4th digits indicating hosp type.  13=CAH, 33=Children's Hosp)</t>
  </si>
  <si>
    <t>Medicare ID (Numeric w/out leading 0)</t>
  </si>
  <si>
    <t>Medicare ID (Text)</t>
  </si>
  <si>
    <t>Hospital Type</t>
  </si>
  <si>
    <t>Urban (0), Rural (1), Pediatric (2)</t>
  </si>
  <si>
    <t>Open</t>
  </si>
  <si>
    <t>CHECK AGAINST CDPHE # LIST TO MAKE SURE ALL HOSPITALS ACCOUNTED FOR (Confirms same Medicare ID)</t>
  </si>
  <si>
    <t>Concatenated Info on Quality &amp; E H R Reductions to Apply to Final Rule National Adjusted Operating Standardized Amounts (Labor &amp; Non-Labor)  If G=1, 10 or 11, Dept will hand enter their correct labor &amp; non-labor amounts in I &amp; K</t>
  </si>
  <si>
    <r>
      <rPr>
        <b/>
        <sz val="11"/>
        <rFont val="Calibri"/>
        <family val="2"/>
        <scheme val="minor"/>
      </rPr>
      <t xml:space="preserve">   FINAL RULE NATIONAL ADJUSTED OPERATING STANDARDIZED AMOUNTS - Medicare Labor-related amount</t>
    </r>
    <r>
      <rPr>
        <sz val="11"/>
        <rFont val="Calibri"/>
        <family val="2"/>
        <scheme val="minor"/>
      </rPr>
      <t xml:space="preserve">
</t>
    </r>
    <r>
      <rPr>
        <sz val="9"/>
        <rFont val="Calibri"/>
        <family val="2"/>
        <scheme val="minor"/>
      </rPr>
      <t xml:space="preserve"> (Source: FY 2025 Table 1A-1E IFC)</t>
    </r>
    <r>
      <rPr>
        <sz val="11"/>
        <rFont val="Calibri"/>
        <family val="2"/>
        <scheme val="minor"/>
      </rPr>
      <t xml:space="preserve">  Non-PPS hospitals hard coded.</t>
    </r>
  </si>
  <si>
    <r>
      <t xml:space="preserve">Wage Index
</t>
    </r>
    <r>
      <rPr>
        <sz val="9"/>
        <rFont val="Calibri"/>
        <family val="2"/>
        <scheme val="minor"/>
      </rPr>
      <t>( Source FY 2025 Impact File IFC
Non_PPS Hospital Wage Index=1)</t>
    </r>
  </si>
  <si>
    <r>
      <rPr>
        <b/>
        <sz val="11"/>
        <rFont val="Calibri"/>
        <family val="2"/>
        <scheme val="minor"/>
      </rPr>
      <t xml:space="preserve">   FINAL RULE NATIONAL ADJUSTED OPERATING STANDARDIZED AMOUNTS - Medicare Non-labor Related Amount</t>
    </r>
    <r>
      <rPr>
        <sz val="11"/>
        <rFont val="Calibri"/>
        <family val="2"/>
        <scheme val="minor"/>
      </rPr>
      <t xml:space="preserve">
 </t>
    </r>
    <r>
      <rPr>
        <sz val="9"/>
        <rFont val="Calibri"/>
        <family val="2"/>
        <scheme val="minor"/>
      </rPr>
      <t>(Source: FY 2025 Table 1A-1E IFC)</t>
    </r>
  </si>
  <si>
    <r>
      <t xml:space="preserve">Operating Federal Portion w/Wage Index Adjustment
</t>
    </r>
    <r>
      <rPr>
        <sz val="9"/>
        <rFont val="Calibri"/>
        <family val="2"/>
        <scheme val="minor"/>
      </rPr>
      <t>((I*J)+K)</t>
    </r>
  </si>
  <si>
    <r>
      <t xml:space="preserve">Federal Capital Rate
</t>
    </r>
    <r>
      <rPr>
        <sz val="9"/>
        <rFont val="Calibri"/>
        <family val="2"/>
        <scheme val="minor"/>
      </rPr>
      <t xml:space="preserve"> (Source:  FY 2025 Table 1A-1E IFC)</t>
    </r>
  </si>
  <si>
    <r>
      <t xml:space="preserve">GAF (Geographic Adjustment Factor)
</t>
    </r>
    <r>
      <rPr>
        <sz val="8"/>
        <rFont val="Calibri"/>
        <family val="2"/>
        <scheme val="minor"/>
      </rPr>
      <t xml:space="preserve"> (Source Impact File  IFC)
Non-PPS Hopital GAF=1</t>
    </r>
  </si>
  <si>
    <r>
      <t xml:space="preserve">Adjusted Federal Capital Rate
</t>
    </r>
    <r>
      <rPr>
        <sz val="8"/>
        <rFont val="Calibri"/>
        <family val="2"/>
        <scheme val="minor"/>
      </rPr>
      <t xml:space="preserve"> (Source Impact File -Corrected Amendment Final Rule)  (M*N)</t>
    </r>
  </si>
  <si>
    <t>Medicare Federal Base Rate w/Wage Index/GAF Adj for PPS Hospitals / No Adj for Non-PPS Hospitals</t>
  </si>
  <si>
    <t>GME COST ADD-ON (10% of Medicaid Cost Per Discharge) 
 (FY 25-26 Amounts)</t>
  </si>
  <si>
    <r>
      <t xml:space="preserve">Operating IME %
</t>
    </r>
    <r>
      <rPr>
        <b/>
        <sz val="8"/>
        <rFont val="Calibri"/>
        <family val="2"/>
        <scheme val="minor"/>
      </rPr>
      <t xml:space="preserve"> (Source Impact File -Corrected Amendment Final Rule)</t>
    </r>
    <r>
      <rPr>
        <b/>
        <sz val="11"/>
        <rFont val="Calibri"/>
        <family val="2"/>
        <scheme val="minor"/>
      </rPr>
      <t xml:space="preserve">
</t>
    </r>
    <r>
      <rPr>
        <sz val="11"/>
        <rFont val="Calibri"/>
        <family val="2"/>
        <scheme val="minor"/>
      </rPr>
      <t>TCHOP</t>
    </r>
  </si>
  <si>
    <r>
      <t xml:space="preserve">Capital IME %
</t>
    </r>
    <r>
      <rPr>
        <b/>
        <sz val="8"/>
        <rFont val="Calibri"/>
        <family val="2"/>
        <scheme val="minor"/>
      </rPr>
      <t xml:space="preserve"> (Source Impact File - Corrected Amendment Final Rule)</t>
    </r>
    <r>
      <rPr>
        <b/>
        <sz val="11"/>
        <rFont val="Calibri"/>
        <family val="2"/>
        <scheme val="minor"/>
      </rPr>
      <t xml:space="preserve">
</t>
    </r>
    <r>
      <rPr>
        <sz val="11"/>
        <rFont val="Calibri"/>
        <family val="2"/>
        <scheme val="minor"/>
      </rPr>
      <t>TCHCP</t>
    </r>
  </si>
  <si>
    <r>
      <t xml:space="preserve">Operating IME ADD-On for PPS Hospitals who Qualify
</t>
    </r>
    <r>
      <rPr>
        <sz val="8"/>
        <rFont val="Calibri"/>
        <family val="2"/>
        <scheme val="minor"/>
      </rPr>
      <t>(L*R)</t>
    </r>
  </si>
  <si>
    <r>
      <t xml:space="preserve">Capital IME ADD-On for PPS Hospitals who Qualify
</t>
    </r>
    <r>
      <rPr>
        <sz val="8"/>
        <rFont val="Calibri"/>
        <family val="2"/>
        <scheme val="minor"/>
      </rPr>
      <t>(O*S)</t>
    </r>
  </si>
  <si>
    <t>IME OPERATING/CAPITAL COMBINED
(T+U)
Non-PPS Hospital totals entered here</t>
  </si>
  <si>
    <t>Value Based Purchasing Adjustment Factor
(Table 16B)</t>
  </si>
  <si>
    <r>
      <t xml:space="preserve">VBP AMT
Calculation:  If W=0, then 0, otherwise </t>
    </r>
    <r>
      <rPr>
        <sz val="11"/>
        <rFont val="Calibri"/>
        <family val="2"/>
        <scheme val="minor"/>
      </rPr>
      <t>L*(W-1)</t>
    </r>
  </si>
  <si>
    <t>READMISSION FACTOR
(Table 15)</t>
  </si>
  <si>
    <r>
      <t xml:space="preserve">READMISSION AMT
Calculation:  If Y=0, then 0, otherwise 
</t>
    </r>
    <r>
      <rPr>
        <sz val="11"/>
        <rFont val="Calibri"/>
        <family val="2"/>
        <scheme val="minor"/>
      </rPr>
      <t>L*(Y-1)</t>
    </r>
  </si>
  <si>
    <t>Hospital-Acquired Condition (HAC) Reduction 
Y=YES</t>
  </si>
  <si>
    <r>
      <t xml:space="preserve">Medicare HAC Reduction = 1%
</t>
    </r>
    <r>
      <rPr>
        <sz val="11"/>
        <rFont val="Calibri"/>
        <family val="2"/>
        <scheme val="minor"/>
      </rPr>
      <t>If AA=YES, then -1%</t>
    </r>
  </si>
  <si>
    <t>HAC $ REDUCTION
Calculation = P*AB</t>
  </si>
  <si>
    <t>Q</t>
  </si>
  <si>
    <t>R</t>
  </si>
  <si>
    <t>S</t>
  </si>
  <si>
    <t>T</t>
  </si>
  <si>
    <t>U</t>
  </si>
  <si>
    <t>V</t>
  </si>
  <si>
    <t>W</t>
  </si>
  <si>
    <t>X</t>
  </si>
  <si>
    <t>Z</t>
  </si>
  <si>
    <t>AA</t>
  </si>
  <si>
    <t>AB</t>
  </si>
  <si>
    <t>AC</t>
  </si>
  <si>
    <t>2</t>
  </si>
  <si>
    <t>North Colorado Medical Center</t>
  </si>
  <si>
    <t>Banner Health</t>
  </si>
  <si>
    <t>060003</t>
  </si>
  <si>
    <t>Centura Longmont United Hospital</t>
  </si>
  <si>
    <t>Commonspirit Health</t>
  </si>
  <si>
    <t>060004</t>
  </si>
  <si>
    <t>Platte Valley Medical Center</t>
  </si>
  <si>
    <t>Intermountain (formerly SCL Health)</t>
  </si>
  <si>
    <t>060006</t>
  </si>
  <si>
    <t>Montrose Memorial Hospital</t>
  </si>
  <si>
    <t>060008</t>
  </si>
  <si>
    <t>San Luis Valley Health Regional Medical Center</t>
  </si>
  <si>
    <t>San Luis Valley</t>
  </si>
  <si>
    <t>060009</t>
  </si>
  <si>
    <t>Lutheran Medical Center</t>
  </si>
  <si>
    <t>Poudre Valley Hospital</t>
  </si>
  <si>
    <t>UCHealth</t>
  </si>
  <si>
    <t>Denver Health Medical Center</t>
  </si>
  <si>
    <t>Centura St. Mary-Corwin Hospital</t>
  </si>
  <si>
    <t>060013</t>
  </si>
  <si>
    <t>Centura Mercy Hospital</t>
  </si>
  <si>
    <t>Presbyterian/St. Luke's Medical Center</t>
  </si>
  <si>
    <t>HealthONE</t>
  </si>
  <si>
    <t>Centura St. Anthony Hospital</t>
  </si>
  <si>
    <t>Parkview Medical Center</t>
  </si>
  <si>
    <t>Memorial Hospital Central</t>
  </si>
  <si>
    <t>St. Mary's Hospital &amp; Medical Center, Inc.</t>
  </si>
  <si>
    <t>University of Colorado Hospital</t>
  </si>
  <si>
    <t>060027</t>
  </si>
  <si>
    <t>Boulder Community Health</t>
  </si>
  <si>
    <t>St. Joseph Hospital</t>
  </si>
  <si>
    <t>060030</t>
  </si>
  <si>
    <t>McKee Medical Center</t>
  </si>
  <si>
    <t>Centura Penrose-St. Francis Hospital</t>
  </si>
  <si>
    <t>Rose Medical Center</t>
  </si>
  <si>
    <t>Swedish Medical Center</t>
  </si>
  <si>
    <t>060044</t>
  </si>
  <si>
    <t>St. Elizabeth Hospital</t>
  </si>
  <si>
    <t>060049</t>
  </si>
  <si>
    <t>Yampa Valley Medical Center</t>
  </si>
  <si>
    <t>060054</t>
  </si>
  <si>
    <t>Community Hospital</t>
  </si>
  <si>
    <t>060064</t>
  </si>
  <si>
    <t>Porter Adventist Hospital</t>
  </si>
  <si>
    <t>AdventHealth</t>
  </si>
  <si>
    <t>HCA HealthONE Mountain Ridge (Frmly North Suburban Medical Center)</t>
  </si>
  <si>
    <t>060071</t>
  </si>
  <si>
    <t>Delta Health</t>
  </si>
  <si>
    <t>060075</t>
  </si>
  <si>
    <t>Valley View Hospital</t>
  </si>
  <si>
    <t>060076</t>
  </si>
  <si>
    <t>Sterling Regional MedCenter</t>
  </si>
  <si>
    <t>060096</t>
  </si>
  <si>
    <t>Vail Health Hospital</t>
  </si>
  <si>
    <t>The Medical Center of Aurora</t>
  </si>
  <si>
    <t>060103</t>
  </si>
  <si>
    <t>Avista Adventist Hospital</t>
  </si>
  <si>
    <t>Centura St. Anthony North Hospital</t>
  </si>
  <si>
    <t>National Jewish Health</t>
  </si>
  <si>
    <t>Sky Ridge Medical Center</t>
  </si>
  <si>
    <t>060113</t>
  </si>
  <si>
    <t>Littleton Adventist Hospital</t>
  </si>
  <si>
    <t>060114</t>
  </si>
  <si>
    <t>Parker Adventist Hospital</t>
  </si>
  <si>
    <t>060116</t>
  </si>
  <si>
    <t>Good Samaritan Medical Center</t>
  </si>
  <si>
    <t>060117</t>
  </si>
  <si>
    <t>Animas Surgical Hospital</t>
  </si>
  <si>
    <t>060118</t>
  </si>
  <si>
    <t>Centura St. Anthony Summit Hospital</t>
  </si>
  <si>
    <t>Medical Center of the Rockies</t>
  </si>
  <si>
    <t>060124</t>
  </si>
  <si>
    <t>OrthoColorado Hospital</t>
  </si>
  <si>
    <t>060125</t>
  </si>
  <si>
    <t>Castle Rock Adventist Hospital</t>
  </si>
  <si>
    <t>060126</t>
  </si>
  <si>
    <t>Banner Fort Collins Medical Center</t>
  </si>
  <si>
    <t>060128</t>
  </si>
  <si>
    <t>Longs Peak Hospital</t>
  </si>
  <si>
    <t>Broomfield Hospital</t>
  </si>
  <si>
    <t>060130</t>
  </si>
  <si>
    <t>Grandview Hospital</t>
  </si>
  <si>
    <t>060131</t>
  </si>
  <si>
    <t>UCHealth Greeley</t>
  </si>
  <si>
    <t>060132</t>
  </si>
  <si>
    <t>UCHealth Highlands Ranch</t>
  </si>
  <si>
    <t>060133</t>
  </si>
  <si>
    <t>St. Francis Hospital - Interquest</t>
  </si>
  <si>
    <t>CommonSpirit Health</t>
  </si>
  <si>
    <t>NA</t>
  </si>
  <si>
    <t>061300</t>
  </si>
  <si>
    <t>Weisbrod Memorial County Hospital</t>
  </si>
  <si>
    <t>061301</t>
  </si>
  <si>
    <t>Rio Grande Hospital</t>
  </si>
  <si>
    <t>061302</t>
  </si>
  <si>
    <t>Family Health West</t>
  </si>
  <si>
    <t>061303</t>
  </si>
  <si>
    <t>East Morgan County Hospital</t>
  </si>
  <si>
    <t>061304</t>
  </si>
  <si>
    <t>Haxtun Hospital District</t>
  </si>
  <si>
    <t>061305</t>
  </si>
  <si>
    <t>Melissa Memorial Hospital</t>
  </si>
  <si>
    <t>061306</t>
  </si>
  <si>
    <t>Lincoln Community Hospital</t>
  </si>
  <si>
    <t>061307</t>
  </si>
  <si>
    <t>Rangely District Hospital</t>
  </si>
  <si>
    <t>061308</t>
  </si>
  <si>
    <t>San Luis Valley Health Conejos County Hospital</t>
  </si>
  <si>
    <t>061310</t>
  </si>
  <si>
    <t>Sedgwick County Health Center</t>
  </si>
  <si>
    <t>061311</t>
  </si>
  <si>
    <t>Southeast Colorado Hospital District</t>
  </si>
  <si>
    <t>061312</t>
  </si>
  <si>
    <t>Estes Park Health</t>
  </si>
  <si>
    <t>061313</t>
  </si>
  <si>
    <t>Kit Carson County Health Service District</t>
  </si>
  <si>
    <t>061314</t>
  </si>
  <si>
    <t>Memorial Regional Health</t>
  </si>
  <si>
    <t>061315</t>
  </si>
  <si>
    <t>Yuma District Hospital</t>
  </si>
  <si>
    <t>061316</t>
  </si>
  <si>
    <t>Spanish Peaks Regional Health Center</t>
  </si>
  <si>
    <t>061317</t>
  </si>
  <si>
    <t>Grand River Hospital District</t>
  </si>
  <si>
    <t>061318</t>
  </si>
  <si>
    <t>Middle Park Health - Kremmling</t>
  </si>
  <si>
    <t>061319</t>
  </si>
  <si>
    <t>St. Vincent General Hospital District</t>
  </si>
  <si>
    <t>061320</t>
  </si>
  <si>
    <t>Gunnison Valley Health</t>
  </si>
  <si>
    <t>061321</t>
  </si>
  <si>
    <t>Mt. San Rafael Hospital</t>
  </si>
  <si>
    <t>061322</t>
  </si>
  <si>
    <t>Heart of the Rockies Regional Medical Center</t>
  </si>
  <si>
    <t>061323</t>
  </si>
  <si>
    <t>Prowers Medical Center</t>
  </si>
  <si>
    <t>061324</t>
  </si>
  <si>
    <t>Aspen Valley Hospital</t>
  </si>
  <si>
    <t>061325</t>
  </si>
  <si>
    <t>Pioneers Medical Center</t>
  </si>
  <si>
    <t>061326</t>
  </si>
  <si>
    <t>Pikes Peak Regional Hospital</t>
  </si>
  <si>
    <t>061327</t>
  </si>
  <si>
    <t>Southwest Health System, Inc.</t>
  </si>
  <si>
    <t>061328</t>
  </si>
  <si>
    <t>Pagosa Springs Medical Center</t>
  </si>
  <si>
    <t>061336</t>
  </si>
  <si>
    <t>Arkansas Valley Regional Medical Center</t>
  </si>
  <si>
    <t>061343</t>
  </si>
  <si>
    <t>Keefe Memorial Health Service District</t>
  </si>
  <si>
    <t>061344</t>
  </si>
  <si>
    <t>Centura St. Thomas More Hospital</t>
  </si>
  <si>
    <t>063303</t>
  </si>
  <si>
    <t>Children's Hospital Colorado Springs</t>
  </si>
  <si>
    <t>hosp # count</t>
  </si>
  <si>
    <t>check agnst cdphe</t>
  </si>
  <si>
    <t>difference</t>
  </si>
  <si>
    <t>confirmed hosp ct</t>
  </si>
  <si>
    <r>
      <t xml:space="preserve">FY 2025 IPPS Impact File -  Interim Final Action with Comment. </t>
    </r>
    <r>
      <rPr>
        <b/>
        <sz val="11"/>
        <color theme="0"/>
        <rFont val="Calibri"/>
        <family val="2"/>
        <scheme val="minor"/>
      </rPr>
      <t>Only fields used for Medicaid Base Rate Calculations are shown</t>
    </r>
  </si>
  <si>
    <t xml:space="preserve">HCPF Created Field </t>
  </si>
  <si>
    <t>CMS Table &amp; Dataset values added here for ease of use</t>
  </si>
  <si>
    <t>Provider Number</t>
  </si>
  <si>
    <t>Name</t>
  </si>
  <si>
    <t>Geographic Labor Market Area</t>
  </si>
  <si>
    <t>Pre-Reclass Labor Market Area</t>
  </si>
  <si>
    <t>Post Reclass Labor Market Area</t>
  </si>
  <si>
    <t>Payment Labor Market Area</t>
  </si>
  <si>
    <t>FIPS County Code</t>
  </si>
  <si>
    <t>Region</t>
  </si>
  <si>
    <t>URGEO</t>
  </si>
  <si>
    <t>URSPA</t>
  </si>
  <si>
    <t>RECLASS</t>
  </si>
  <si>
    <t>FY 2025 Wage Index</t>
  </si>
  <si>
    <t>LUGAR</t>
  </si>
  <si>
    <t>Section 401 Hospital</t>
  </si>
  <si>
    <t>Section 401 or LUGAR Hospitals with a MGCRB Wage Index Reclass</t>
  </si>
  <si>
    <t>Section 505 Eligible</t>
  </si>
  <si>
    <t>Section 505 Adjustment</t>
  </si>
  <si>
    <t>Cost of Living Adjustment</t>
  </si>
  <si>
    <t>Resident to Bed Ratio</t>
  </si>
  <si>
    <t>RDAY</t>
  </si>
  <si>
    <t>Average Daily Census</t>
  </si>
  <si>
    <t>TCHOP</t>
  </si>
  <si>
    <t>TCHCP</t>
  </si>
  <si>
    <t>DSHPCT</t>
  </si>
  <si>
    <t>DSHOPP</t>
  </si>
  <si>
    <t>DSHCPP</t>
  </si>
  <si>
    <t>DSH_LY</t>
  </si>
  <si>
    <t>UCP_ADJ</t>
  </si>
  <si>
    <t>UCP Per Claim Amount</t>
  </si>
  <si>
    <t>UCP_ADJ_LY</t>
  </si>
  <si>
    <t>UCP Per Claim Amount LY</t>
  </si>
  <si>
    <t>Operating CCR</t>
  </si>
  <si>
    <t>Capital CCR</t>
  </si>
  <si>
    <t>Provider Type (16 or 17 = SCH)</t>
  </si>
  <si>
    <t>HSP Rate</t>
  </si>
  <si>
    <t>Bills</t>
  </si>
  <si>
    <t>CASETA41</t>
  </si>
  <si>
    <t>CMIV41</t>
  </si>
  <si>
    <t>TACMIV41</t>
  </si>
  <si>
    <t>IME_CASETA41</t>
  </si>
  <si>
    <t>IME_TACMIV41</t>
  </si>
  <si>
    <t>CASETA42</t>
  </si>
  <si>
    <t>CMIV42</t>
  </si>
  <si>
    <t>TACMIV42</t>
  </si>
  <si>
    <t>IME_CASETA42</t>
  </si>
  <si>
    <t>IME_TACMIV42</t>
  </si>
  <si>
    <t>GAF</t>
  </si>
  <si>
    <t>Capital Cost of Living Adjustment</t>
  </si>
  <si>
    <t>OUTFACT_F</t>
  </si>
  <si>
    <t>COUTFACT_F</t>
  </si>
  <si>
    <t>Medicare Percentage</t>
  </si>
  <si>
    <t>Medicaid Percentage</t>
  </si>
  <si>
    <t>Low Volume Hospital Adjustment</t>
  </si>
  <si>
    <t>Proxy Value Based Purchasing Adjustment Factor</t>
  </si>
  <si>
    <t>Proxy Readmission Adjustment Factor</t>
  </si>
  <si>
    <t>Proxy Quality Reduction</t>
  </si>
  <si>
    <t>Proxy EHR Reduction</t>
  </si>
  <si>
    <t>Ownership Control Type</t>
  </si>
  <si>
    <t>MDH Flag, CAA 2024</t>
  </si>
  <si>
    <t>HSP Rate for MDHs, CAA 2024</t>
  </si>
  <si>
    <t>Low-Volume Hospital Payment Adjustment, CAA 2024</t>
  </si>
  <si>
    <r>
      <t xml:space="preserve">2025 Hospital-Acquired Condition (HAC) Reduction Program Datset
Published: 2/19/2025 by CMS
</t>
    </r>
    <r>
      <rPr>
        <b/>
        <u/>
        <sz val="11"/>
        <rFont val="Calibri"/>
        <family val="2"/>
        <scheme val="minor"/>
      </rPr>
      <t>Payment Reduction for HAC?</t>
    </r>
  </si>
  <si>
    <t xml:space="preserve">Table 15: FY 2025 Hospital Readmissions pulled 1/8/2025 by HCPF
FY 2025 Payment Adjustment Factor </t>
  </si>
  <si>
    <t>TABLE 16B: ACTUAL HOSPITAL VALUE-BASED PURCHASING PROGRAM (VBP) ADJUSTMENT FACTORS FOR FY 2025
(Updated 12/2/2024 by CMS, pulled 1/8/25 by HCPF)</t>
  </si>
  <si>
    <t>24540</t>
  </si>
  <si>
    <t>08123</t>
  </si>
  <si>
    <t>8</t>
  </si>
  <si>
    <t>OURBAN</t>
  </si>
  <si>
    <t>0</t>
  </si>
  <si>
    <t>No</t>
  </si>
  <si>
    <t>14500</t>
  </si>
  <si>
    <t>08013</t>
  </si>
  <si>
    <t>Hospital-Acquired Condition (HAC) dataset for 2015 used file dated 2/19/2025</t>
  </si>
  <si>
    <t>19740</t>
  </si>
  <si>
    <t>08001</t>
  </si>
  <si>
    <t>LURBAN</t>
  </si>
  <si>
    <t>Yes</t>
  </si>
  <si>
    <t>06</t>
  </si>
  <si>
    <t>08085</t>
  </si>
  <si>
    <t>RURAL</t>
  </si>
  <si>
    <t>08003</t>
  </si>
  <si>
    <t>08059</t>
  </si>
  <si>
    <t>22660</t>
  </si>
  <si>
    <t>08069</t>
  </si>
  <si>
    <t>08031</t>
  </si>
  <si>
    <t>39380</t>
  </si>
  <si>
    <t>08101</t>
  </si>
  <si>
    <t>08067</t>
  </si>
  <si>
    <t>17820</t>
  </si>
  <si>
    <t>08041</t>
  </si>
  <si>
    <t>24300</t>
  </si>
  <si>
    <t>08077</t>
  </si>
  <si>
    <t>08005</t>
  </si>
  <si>
    <t>08087</t>
  </si>
  <si>
    <t>08107</t>
  </si>
  <si>
    <t>08029</t>
  </si>
  <si>
    <t>08045</t>
  </si>
  <si>
    <t>08075</t>
  </si>
  <si>
    <t>08037</t>
  </si>
  <si>
    <t>1</t>
  </si>
  <si>
    <t>08035</t>
  </si>
  <si>
    <t>08117</t>
  </si>
  <si>
    <t>08014</t>
  </si>
  <si>
    <t>St. Francis Hospital - Interquest (new hosp)</t>
  </si>
  <si>
    <r>
      <t xml:space="preserve">Source:  FY 2025 Federal Base Rate / FY 2025 IFC Tables 1A-1E
</t>
    </r>
    <r>
      <rPr>
        <b/>
        <sz val="10"/>
        <rFont val="Arial"/>
        <family val="2"/>
      </rPr>
      <t>(Quality Data &amp; Meaningful EHR users)</t>
    </r>
  </si>
  <si>
    <t>PPS HOSPITALS</t>
  </si>
  <si>
    <t>NON-PPS HOSPITALS</t>
  </si>
  <si>
    <t>Wage Index &gt; 1</t>
  </si>
  <si>
    <t>Wage Index &lt;= 1</t>
  </si>
  <si>
    <t>Non-PPS Medicare Hospitals = 1</t>
  </si>
  <si>
    <t>Labor-related Amount</t>
  </si>
  <si>
    <t>Nonlabor-related Amount</t>
  </si>
  <si>
    <t>Capital Std Fed Pmt Rate</t>
  </si>
  <si>
    <t>TOTAL:</t>
  </si>
  <si>
    <t>Medicare does not provide Wage Index or Geographic Adjustment Factor (GAF) for non-PPS hospitals.  The Department will be assigning them the following figures for the Federal Base Rate.  The number 1.00 will appear in the Wage Index and GAF calculations to produce a result.</t>
  </si>
  <si>
    <r>
      <rPr>
        <b/>
        <sz val="11"/>
        <rFont val="Arial"/>
        <family val="2"/>
      </rPr>
      <t>Note:</t>
    </r>
    <r>
      <rPr>
        <sz val="11"/>
        <rFont val="Arial"/>
        <family val="2"/>
      </rPr>
      <t xml:space="preserve">  Non-PPS Hospitals are assumed to be Quality Data and be meaningful EHR users since no data exists to suggest otherwise.  PPS hospitals who have a Concatenated Formula of 01, 10 or 11 will receive the correspending Non-labor &amp; labor-related amounts below</t>
    </r>
  </si>
  <si>
    <t xml:space="preserve">Please know this document was modified for Accessibility purposes.  You can see a screenshot of the table prior to accessibility format changes to the right. </t>
  </si>
  <si>
    <t>FY 2025 INTERIM FINAL ACTION Tables 1A-1E</t>
  </si>
  <si>
    <t>TABLE 1A.  NATIONAL ADJUSTED OPERATING STANDARDIZED AMOUNTS; LABOR/NONLABOR (67.6 PERCENT LABOR SHARE/32.4 PERCENT NONLABOR SHARE IF WAGE INDEX GREATER THAN 1)</t>
  </si>
  <si>
    <t>This row was added by HCPF to show how Concatenation Formula is applied:</t>
  </si>
  <si>
    <t>CONCAT FORMULA = 01  (Quality Data = 0 and Meaningful E H R User=1)</t>
  </si>
  <si>
    <t>CONCAT FORMULA = 10  (Quality Data = 1 and Meaningful E H R User=0)</t>
  </si>
  <si>
    <t>CONCAT FORMULA = 11  (Quality Data = 1 and Meaningful E H R User=1)</t>
  </si>
  <si>
    <t>Hospital Submitted Quality Data and is a Meaningful EHR User (Update = 2.9 Percent)</t>
  </si>
  <si>
    <t>Hospital Submitted Quality Data and is NOT a Meaningful EHR User (Update = 0.35 Percent)</t>
  </si>
  <si>
    <t>Hospital Did NOT Submit Quality Data and is a Meaningful EHR User (Update = 2.05 Percent)</t>
  </si>
  <si>
    <t>Hospital Did NOT Submit Quality Data and is NOT a Meaningful EHR User
 (Update = -0.5 Percent)</t>
  </si>
  <si>
    <t>Labor-related</t>
  </si>
  <si>
    <t>Nonlabor-related</t>
  </si>
  <si>
    <t>TABLE 1B.  NATIONAL ADJUSTED OPERATING STANDARDIZED AMOUNTS, LABOR/NONLABOR (62 PERCENT LABOR SHARE/38 PERCENT NONLABOR SHARE IF WAGE INDEX LESS THAN OR EQUAL TO 1)</t>
  </si>
  <si>
    <t>TABLE 1C.  ADJUSTED OPERATING STANDARDIZED AMOUNTS FOR HOSPITALS IN PUERTO RICO, LABOR/NONLABOR (NATIONAL:  62 PERCENT LABOR SHARE/38 PERCENT NONLABOR SHARE BECAUSE WAGE INDEX IS LESS THAN OR EQUAL TO 1)</t>
  </si>
  <si>
    <t>Rates if Wage Index Greater Than 1</t>
  </si>
  <si>
    <t>Rates if Wage Index Greater Than 2</t>
  </si>
  <si>
    <t>Hospital is a Meaningful EHR User and Wage Index Less Than or Equal to 1 (Update = 2.9)</t>
  </si>
  <si>
    <t>Hospital is NOT a Meaningful EHR User and Wage Index Less Than or Equal to 1 (Update = 0.35)</t>
  </si>
  <si>
    <t>Labor</t>
  </si>
  <si>
    <t>Nonlabor</t>
  </si>
  <si>
    <r>
      <t>National</t>
    </r>
    <r>
      <rPr>
        <vertAlign val="superscript"/>
        <sz val="11"/>
        <rFont val="Calibri"/>
        <family val="2"/>
        <scheme val="minor"/>
      </rPr>
      <t>1</t>
    </r>
  </si>
  <si>
    <t>Not Applicable</t>
  </si>
  <si>
    <r>
      <rPr>
        <vertAlign val="superscript"/>
        <sz val="11"/>
        <rFont val="Calibri"/>
        <family val="2"/>
        <scheme val="minor"/>
      </rPr>
      <t>1</t>
    </r>
    <r>
      <rPr>
        <sz val="11"/>
        <rFont val="Calibri"/>
        <family val="2"/>
        <scheme val="minor"/>
      </rPr>
      <t>For FY 2025, there are no CBSAs in Puerto Rico with a national wage index greater than 1.</t>
    </r>
  </si>
  <si>
    <t>TABLE 1D. -  CAPITAL STANDARD FEDERAL PAYMENT RATE</t>
  </si>
  <si>
    <t>Rate</t>
  </si>
  <si>
    <t>National</t>
  </si>
  <si>
    <t xml:space="preserve">TABLE 1E-  LTCH PPS STANDARD FEDERAL PAYMENT RATE
</t>
  </si>
  <si>
    <t>Full Update (3.0 Percent)</t>
  </si>
  <si>
    <t>Reduced Update* (1.0 Percent)</t>
  </si>
  <si>
    <r>
      <t>Standard Federal Rate</t>
    </r>
    <r>
      <rPr>
        <vertAlign val="superscript"/>
        <sz val="11"/>
        <rFont val="Calibri"/>
        <family val="2"/>
        <scheme val="minor"/>
      </rPr>
      <t>*</t>
    </r>
  </si>
  <si>
    <t>* For LTCHs that fail to submit quality reporting data for FY 2025 in accordance with the LTCH Quality Reporting Program (LTCH QRP), the annual update is reduced by 2.0 percentage points as required by section 1886(m)(5) of the Act.</t>
  </si>
  <si>
    <t>FY 2025 Final Rule IPPS Impact File</t>
  </si>
  <si>
    <t>Data points shown are the ones used in Colorado's Medicaid Base Rate Calculations</t>
  </si>
  <si>
    <t>DATA SOURCES FOR THIS FY 2025 RULE IMPACT FILE ARE THE FOLLOWING: MARCH 2024 UPDATE OF FY 2023 MEDPAR, MARCH 2024 UPDATE OF PROVIDER SPECIFIC FILE (PSF), FY2021/FY2022 COST REPORT DATA</t>
  </si>
  <si>
    <t>DISCLAIMER: The variables in the impact file are based on information at the time of the Final Rule (or correction notice as applicable) which are used to model payments for the upcoming Fiscal Year (2025) and may not reflect what is used for actual payment (e.g: Wage Index, DSH, IME) for FY 2025. Refer to the quarterly Provider Specific File (PSF) for variables used for actual payment (Note: Since the PSF is updated quarterly there is typically a 3-month lag until the latest information is posted).</t>
  </si>
  <si>
    <t>6 digit Medicare provider number; the first 2 digits are the state code.</t>
  </si>
  <si>
    <t>Name of Medicare provider from OSCAR.("blank" = unknown)</t>
  </si>
  <si>
    <t>The Geographic CBSA location based on OMB's Core Based Statistical Area (CBSA) designations.  The CBSA assignment is based on where the provider is physically located. Rural areas are designated by 2-digit SSA state codes.</t>
  </si>
  <si>
    <t>Pre-reclassification CBSA</t>
  </si>
  <si>
    <t>Post-Reclass Labor Market Area</t>
  </si>
  <si>
    <t>Post-reclassification CBSA for FY 2025</t>
  </si>
  <si>
    <t>Payment CBSA (urban or rural) for purposes of determining operating payments (other than wage index)</t>
  </si>
  <si>
    <t>Federal Information Processing Standard (FIPS) county code. The FIPS system is used to Identify the county in which the provider is geographically located and this field is used in conjunction with the MSA/CBSA crosswalk file.</t>
  </si>
  <si>
    <t>REGION</t>
  </si>
  <si>
    <t>1=NEW ENGLAND (CT, ME, MA, NH, RI, VT);</t>
  </si>
  <si>
    <t>2=MIDDLE ATLANTIC (NJ, NY, PA);</t>
  </si>
  <si>
    <t>3=EAST NORTH CENTRAL (IL, IN, MI, OH, WI);</t>
  </si>
  <si>
    <t>4=WEST NORTH CENTRAL (IA, KS, MN, MO, NE, ND, SD);</t>
  </si>
  <si>
    <t>5=SOUTH ATLANTIC (DE, DC, FL, GA, MD, NC, SC, VA, WV);</t>
  </si>
  <si>
    <t>6=EAST SOUTH CENTRAL (AL, KY, MS, TN);</t>
  </si>
  <si>
    <t>7=WEST SOUTH CENTRAL (AR, LA, OK, TX);</t>
  </si>
  <si>
    <t>8=MOUNTAIN (AZ, CO, ID, MT, NV, NM, UT, WY);</t>
  </si>
  <si>
    <t>9=PACIFIC (AK, CA, HI, OR, WA);</t>
  </si>
  <si>
    <t>40=PUERTO RICO (PR);</t>
  </si>
  <si>
    <t>Urban or Rural designation of the provider’s geographic CBSA</t>
  </si>
  <si>
    <t>Urban or Rural designation of the provider’s payment CBSA</t>
  </si>
  <si>
    <t xml:space="preserve">Reclass Status FY 2025:  </t>
  </si>
  <si>
    <t>N -provider did not reclassify;</t>
  </si>
  <si>
    <t>W -provider reclassified for wage index;</t>
  </si>
  <si>
    <t>L provider reclassified under 1886(d)(8)(B) of the SSA;</t>
  </si>
  <si>
    <t>S-provider redesignated as rural under Sec. 401 of BIPA.</t>
  </si>
  <si>
    <t>Wage Index</t>
  </si>
  <si>
    <t>FY 2025 wage index after applying the MGCRB reclassifications, rural floor, imputed floor, adjustments for the Frontier wage index provision, the P.L. 108-173 Sec 505 adjustments, the lowest quartile wage index adjustment and the 5-percent cap, as applicable. The wage index reflects the application of national rural floor budget neutrality required under the Affordable Care Act.
For the FY 2025 IFC, the values in this column reflect the transitional payment exception for low wage hospitals significantly impacted by the revisions in the IFC due to the removal of the low wage index hospital policy following the appellate court decision in Bridgeport Hosp. v. Becerra. See CMS-1808-IFC for complete details.</t>
  </si>
  <si>
    <t>Provider is located in a Lugar County as defined in 1886(d)(8)(B) of the Act</t>
  </si>
  <si>
    <t>Section 401 hospital</t>
  </si>
  <si>
    <t>A 'Y' denotes urban providers redesignated as rural under CFR 412.103 (Sec 401 of BIPA).</t>
  </si>
  <si>
    <t>A 'Y' denotes a hospital that is redesignated as rural under CFR 412.103 (Sec 401 of BIPA) or is located in a Lugar County as defined in 1886(d)(8)(B) of the Act (and did not waive its LUGAR status) AND also is reclassified to another CBSA through the MGCRB.</t>
  </si>
  <si>
    <t>Section 505 eligible</t>
  </si>
  <si>
    <t>A 'Y' denotes providers eligible to receive a wage index adjustment under Sec. 505 of P.L. 108-173 for FY 2025.  Hospitals cannot receive the out-migration adjustment if they are reclassified under section 1886(d)(10) of the Act or redesignated under section 1886(d)(8)(B) of the Act or redesignated under section 1886(d)(8)(E) of the Act.</t>
  </si>
  <si>
    <t>Section 505 adjustment</t>
  </si>
  <si>
    <t>Wage adjustment for providers who are eligible to receive a wage index adjustment under Sec. 505 of P.L. 108-173 for FY 2025.  Hospitals cannot receive the out-migration adjustment if they are reclassified under section 1886(d)(10) of the Act or redesignated under section 1886(d)(8)(B) of the Act or redesignated under section 1886(d)(8)(E) of the Act.</t>
  </si>
  <si>
    <t>Cost of Living Adjustment factor based on data from the U.S. Office of Personnel Management for IPPS providers located in Alaska or Hawaii for IPPS operating payments</t>
  </si>
  <si>
    <t>Resident to Bed Ratio. Used to determine IME factor for operating IPPS payments</t>
  </si>
  <si>
    <t>Resident to Average Daily Census (ADC) ratio. Used to calculate the IME adjustment for Capital IPPS.</t>
  </si>
  <si>
    <t>BEDS</t>
  </si>
  <si>
    <t>The number of total beds obtained from cost report data.*</t>
  </si>
  <si>
    <t>Calculated as the ratio of Total Acute Inpatient Days to Total Days in the Cost Reporting Period obtained from cost report data.*</t>
  </si>
  <si>
    <t>IME adjustment factor for Operating IPPS</t>
  </si>
  <si>
    <t>IME adjustment factor for Capital IPPS</t>
  </si>
  <si>
    <t>Disproportionate Share Hospital Patient Percentage (DPP) as determined from the Medicaid ratio from the March 2024 update of the Provider Specific File (PSF) &amp; the most recent SSI data  </t>
  </si>
  <si>
    <t>Estimated FY 2025 Operating Disproportionate Share Hospital (DSH) adjustment. Reflects a 75% reduction to the DSH adjustment required under Section 3333 of the Affordable Care Act</t>
  </si>
  <si>
    <t xml:space="preserve">FY 2025 Capital Disproportionate Share Hospital (DSH) adjustment. </t>
  </si>
  <si>
    <t>Estimated FY 2024 Operating Disproportionate Share Hospital (DSH) adjustment. Reflects a 75% reduction to the DSH adjustment required under Section 3333 of the Affordable Care Act</t>
  </si>
  <si>
    <t xml:space="preserve">FY 2025 Uncompensated Care Payment Factor is the proportion of the additional payment amount for uncompensated care costs that a DSH hospital will receive under the implementation of Section 3133 of the Affordable Care Act. The Uncompensated Care Payment Factor is the hospital's uncompensated care costs relative to all DSH hospital's uncompensated care costs. DSH hospitals are identified as those hospitals that are projected to receive DSH for FY 2025. </t>
  </si>
  <si>
    <t>UCP and IHS/PR Supplemental Payment Per Claim Amount</t>
  </si>
  <si>
    <t xml:space="preserve">FY 2025 Uncompensated Care Per Claim Amount and IHS/PR Supplemental Payment Per Claim Amount based on a hospital's assigned Uncompensated Care Payment amount and, if applicable, the IHS/PR Supplemental Payment Per Claim Amount, divided by the 2-year claims average based on MedPAR files from FY22 and FY23.  This variable includes the supplemental payment for IHS/Tribal and Puerto Rico hospitals, therefore, for IHS/Tribal and Puerto Rico hospitals this variable includes both the UCP per claim amount and the Supplemental Payment per claim amount. Per Claim Amounts were used in determination of outlier payments and used to estimate if a SCH is paid on a hospital specific rate or federal rate on a per claim basis.  </t>
  </si>
  <si>
    <t xml:space="preserve">UCP_ADJ_LY </t>
  </si>
  <si>
    <t>FY 2024 Uncompensated Care Payment Factor is the proportion of the additional payment amount for uncompensated care costs that a DSH hospital will receive under the implementation of Section 3133 of the Affordable Care Act. The Uncompensated Care Payment Factor is the hospital's uncompensated care costs relative to all DSH hospital's uncompensated care costs. DSH hospitals are identified as those hospitals that were projected to receive DSH for FY 2024.</t>
  </si>
  <si>
    <t>UCP Per Claim Amount LY and IHS/PR Supplemental Payment Per Claim Amount</t>
  </si>
  <si>
    <t>FY 2024 Uncompensated Care Per Claim Amount and IHS/PR Supplemental Payment Per Claim Amount based on a hospital's assigned Uncompensated Care Payment amount and, if applicable, the IHS/PR Supplemental Payment Per Claim Amount, divided by the 2-year claims average based on MedPAR files from FY21 and FY22.  Per Claim Amount is used in determination of outlier payments and used to determine if the SCH is paid on a hospital specific rate or federal rate on a per claim basis.</t>
  </si>
  <si>
    <t>Ratio of Medicare operating costs to Medicare covered charges from the March 2024 update of the Provider Specific File (PSF). CCRs do not have the adjustment factor applied.</t>
  </si>
  <si>
    <t>Ratio of Medicare capital costs to Medicare covered charges from the March 2024 update of the Provider Specific File (PSF). CCRs do not have the adjustment factor applied.</t>
  </si>
  <si>
    <t>Provider Type</t>
  </si>
  <si>
    <t xml:space="preserve">Type of provider - key:  </t>
  </si>
  <si>
    <t>0=IPPS;</t>
  </si>
  <si>
    <t>7=Rural Referral Center (RRC);</t>
  </si>
  <si>
    <t>8=Indian Health Service (IHS);</t>
  </si>
  <si>
    <t>16=Sole Community Hospital (SCH);</t>
  </si>
  <si>
    <t>17=SCH/RRC;</t>
  </si>
  <si>
    <t>21=Essential Access Community Hospital (EACH);</t>
  </si>
  <si>
    <t xml:space="preserve">22=EACH/RRC </t>
  </si>
  <si>
    <t xml:space="preserve">based on the March 2024 update of the PSF.  (Note, this does not reflect the provisions of the CAA, 2024.) </t>
  </si>
  <si>
    <t>Hospital Specific Payment (HSP) Rate updated to FY 2025 for SCH providers. HSP Rate is based on the March 2024 update of the Provider Specific File (PSF).</t>
  </si>
  <si>
    <t>BILLS</t>
  </si>
  <si>
    <t>Total number of Medicare cases for the provider from the FY 2023 MedPAR, March 2024 update</t>
  </si>
  <si>
    <t>Transfer adjusted cases under Grouper V41 and FY 2024 Post-Acute Transfer Policy</t>
  </si>
  <si>
    <t>Case Mix Index under Grouper V41 (generally applicable for SCH and MDH providers paid under their Hospital Specific Payment rate).</t>
  </si>
  <si>
    <t>Transfer adjusted Case Mix Index under Grouper V41 and FY 2024 Post-Acute Transfer Policy</t>
  </si>
  <si>
    <t>Transfer adjusted cases under Grouper V41 for Medicare Advantage cases submitted by teaching hospitals that receive a fee-for-service IME payment. The IME payment associated with these cases are included in the budget neutrality calculations and in payment modelling.</t>
  </si>
  <si>
    <t>Transfer adjusted Case Mix under Grouper V41 for Medicare Advantage cases submitted by teaching hospitals that received a fee-for-service IME payment. These CMIs are used to calculate the IME payments for budget neutrality.</t>
  </si>
  <si>
    <t>Transfer Adjusted Cases under Grouper V42 and FY 2025 Post-Acute Transfer Policy</t>
  </si>
  <si>
    <t>Case Mix Index under Grouper V42 (generally applicable for SCH and MDH providers paid under their Hospital Specific Payment rate).</t>
  </si>
  <si>
    <t>Transfer adjusted Case Mix Index under Grouper V42 and FY 2025 Post-Acute Transfer Policy</t>
  </si>
  <si>
    <t>Transfer adjusted cases under Grouper V42 for Medicare Advantage cases submitted by teaching hospitals that receive a fee-for-service IME payment. The IME payment associated with these cases are included in the budget neutrality calculations and in payment modelling.</t>
  </si>
  <si>
    <t>Transfer adjusted Case Mix under Grouper V42 for Medicare Advantage cases submitted by teaching hospitals that received a fee-for-service IME payment. These CMIs are used to calculate the IME payments for budget neutrality.</t>
  </si>
  <si>
    <t>Geographic Adjustment Factor (GAF) for Capital IPPS for FY 2025.  This value includes the applicable Capital Cost of Living Adjustment for hospitals located in Alaska and Hawaii.
For the FY 2025 IFC, the values in this column reflect the transitional payment exception for low wage hospitals significantly impacted by the revisions in the IFC due to the removal of the low wage index hospital policy following the appellate court decision in Bridgeport Hosp. v. Becerra. See CMS-1808-IFC for complete details.</t>
  </si>
  <si>
    <t>Capital COLA factor for hospitals located in Alaska and Hawaii, which is based on the applicable operating IPPS COLA factor</t>
  </si>
  <si>
    <t>Estimated operating outlier payments as a percentage of the provider's Federal operating IPPS payments</t>
  </si>
  <si>
    <t>Estimated capital outlier payments as a percentage of the provider's Federal capital IPPS payments</t>
  </si>
  <si>
    <t>Medicare days as a percent of total inpatient days (not available for all providers)</t>
  </si>
  <si>
    <t>Medicaid days as a percent of total inpatient days (not available for all providers)</t>
  </si>
  <si>
    <t>Low-Volume Hospital Payment Adjustment</t>
  </si>
  <si>
    <t>Payment adjustment for low-volume hospitals under Section</t>
  </si>
  <si>
    <t>1886(d)(12) of the Act prior to the enactment of the Consolidated Appropriations Act, 2024. (A value of “1” denotes no adjustment.)</t>
  </si>
  <si>
    <t>Proxy payment adjustment for Value Based Purchasing Program (Section 1886(o) of the Act).</t>
  </si>
  <si>
    <t>Proxy payment adjustment for Hospital Readmissions Reduction Program (Section 1886(q) of the Act). Maryland and Puerto Rico hospitals are exempt from the payment adjustment.</t>
  </si>
  <si>
    <t>Value of '1' indicates a hospital that was found not to have successfully reported designated quality measures under the Hospital Inpatient Quality Reporting (IQR) Program as shown in the March 2024 update of the Provider Specific File (PSF), and therefore was modeled as receiving a reduction to the percentage increase in the market basket index for FY 2025 under §412.64(d)(2). (Note, this variable will not reflect any subsequent adjustments, if any, to this indicator made in the PSF, and may not reflect the hospital’s final determination under the hospital IQR program.)</t>
  </si>
  <si>
    <t>Value of '1' indicates a hospital that was found not to be a meaningful electronic health record (EHR) user for the applicable EHR reporting period and did not receive an exception as shown in the March 2024 update of the Provider Specific File (PSF), and therefore was modeled as receiving a reduction to the percentage increase in the market basket index for FY 2025 under §§ 412.64(d)(3)-(4). (Note, this variable will not reflect any subsequent adjustments, if any, to this indicator made in the PSF, and may not reflect the hospital’s final determination under the Promoting Interoperability Program.)</t>
  </si>
  <si>
    <t xml:space="preserve">Type of ownership control from cost report data:  </t>
  </si>
  <si>
    <t>"G" = Government;</t>
  </si>
  <si>
    <t>"P" = Proprietary;</t>
  </si>
  <si>
    <t>"V" = Voluntary;</t>
  </si>
  <si>
    <t>"X" = Unknown.</t>
  </si>
  <si>
    <t>A 'Y' denotes providers classified as Medicare Dependent Hospitals (MDH) for the portion of FY 2025 through December 31, 2024 under the MDH program extension provided by section 307 of the Consolidated Appropriations Act, 2024.</t>
  </si>
  <si>
    <t>Hospital Specific Payment (HSP) Rate updated to FY 2025 for MDH providers.  This reflects the HSP rate for the portion of FY 2025 through December 31, 2024 under the MDH program extension provided by section 307 of the Consolidated Appropriations Act, 2024. HSP Rate is based on the March 2024 update of the Provider Specific File (PSF).</t>
  </si>
  <si>
    <t>Payment adjustment for low-volume hospitals under Section 1886(d)(12) of the Act for the portion of FY 2025 through December 31, 2024 under the extension of the temporary changes to the low-volume hospital payment adjustment provided by section 306 of the Consolidated Appropriations Act, 2024.  (A value of “1” denotes no adjustment.)</t>
  </si>
  <si>
    <t xml:space="preserve">*The most recent available cost report data were used (FYs 2021 - 2022). A "zero" value may indicate unavailable or incomplete data. </t>
  </si>
  <si>
    <t>New this year, we'll be posting Payer Mix, Low Discharge and Solvency Metric data for review</t>
  </si>
  <si>
    <t>HCRIS and Hospital Transparency Data that make up the following three add-ons will be available in the same workbook as Education-related data/ CMS Data Inputs:  Payer Mix, Low Discharge and Solvency Metric.​</t>
  </si>
  <si>
    <r>
      <t>If hospitals dispute the data points that make-up the three add-ons, please provide copies of HCRIS data and/or submissions of Hospital Transparency Data showing the specific difference to Diana Lambe and Andrew Abalos at </t>
    </r>
    <r>
      <rPr>
        <u/>
        <sz val="12"/>
        <color rgb="FF0000CC"/>
        <rFont val="Calibri"/>
        <family val="2"/>
        <scheme val="minor"/>
      </rPr>
      <t>diana.lambe@state.co.us</t>
    </r>
    <r>
      <rPr>
        <sz val="12"/>
        <color rgb="FF000000"/>
        <rFont val="Calibri"/>
        <family val="2"/>
        <scheme val="minor"/>
      </rPr>
      <t> and </t>
    </r>
    <r>
      <rPr>
        <u/>
        <sz val="12"/>
        <color rgb="FF0000CC"/>
        <rFont val="Calibri"/>
        <family val="2"/>
        <scheme val="minor"/>
      </rPr>
      <t>andrew.abalos@state.co.us</t>
    </r>
    <r>
      <rPr>
        <sz val="12"/>
        <color rgb="FF000000"/>
        <rFont val="Calibri"/>
        <family val="2"/>
        <scheme val="minor"/>
      </rPr>
      <t> by end of day 4/16/2025.​</t>
    </r>
  </si>
  <si>
    <r>
      <t>Please be aware that there is an additional 30-day review of the final rates after the State Budget Action is announced and the rate workbook is approved by upper management and posted to the department website: </t>
    </r>
    <r>
      <rPr>
        <b/>
        <u/>
        <sz val="12"/>
        <color rgb="FF000000"/>
        <rFont val="Calibri"/>
        <family val="2"/>
        <scheme val="minor"/>
      </rPr>
      <t>https://hcpf.colorado.gov/inpatient-hospital-payment.​</t>
    </r>
  </si>
  <si>
    <t>Link to Characteristics Tab which summarizes all 3 add-ons and identifies hospital types used for other add-ons</t>
  </si>
  <si>
    <t>Link to Solvency Metric</t>
  </si>
  <si>
    <t>Link to Discharge 3 yr avg</t>
  </si>
  <si>
    <t>Link to Payer Mix 3 yr avg</t>
  </si>
  <si>
    <t>Medicare ID without leading 0</t>
  </si>
  <si>
    <t>Urban (0), Rural (1), Pediatric (2) based on HCPF definitions</t>
  </si>
  <si>
    <t>System Ownership for purpose of Solvency Metric</t>
  </si>
  <si>
    <t>Payer Mix Cost Report Yrs</t>
  </si>
  <si>
    <t xml:space="preserve">Up to 3 yr Avg Medicaid Payer Mix (includes Psych/Rehab/Other subunits) </t>
  </si>
  <si>
    <t>Low Discharge Cost Report Yrs</t>
  </si>
  <si>
    <t xml:space="preserve">Up to 3 yr Avg Discharges (includes Psych/Rehab/Other subunits) </t>
  </si>
  <si>
    <t>System or Hospital Solvency Metric/Operating Cash Flow Margin % 
(whichever is higher). Based on up to 3 yrs worth of Hospital Transparency Data Provided by Hospitals to HCPF</t>
  </si>
  <si>
    <t>Missing Data on Operating Cash Flow Margin %</t>
  </si>
  <si>
    <t>Hospital Type from CMS IMPACT File for SCH/MDH PPS Hospitals / CAH hardcoded</t>
  </si>
  <si>
    <t>CAH</t>
  </si>
  <si>
    <t>PED</t>
  </si>
  <si>
    <t>Medicare Provider ID</t>
  </si>
  <si>
    <t>PFID</t>
  </si>
  <si>
    <t>Current Network / System Hospitals</t>
  </si>
  <si>
    <t>Hospital type</t>
  </si>
  <si>
    <t xml:space="preserve">2021 Total Operating Revenue </t>
  </si>
  <si>
    <t xml:space="preserve">2021 Total Operating Income </t>
  </si>
  <si>
    <t>2021 Depreciation Expense</t>
  </si>
  <si>
    <t xml:space="preserve">2022 Total Operating Revenue </t>
  </si>
  <si>
    <t xml:space="preserve">2022 Total Operating Income </t>
  </si>
  <si>
    <t>2022 Depreciation Expense</t>
  </si>
  <si>
    <t xml:space="preserve">2023 Total Operating Revenue </t>
  </si>
  <si>
    <t xml:space="preserve">2023 Total Operating Income </t>
  </si>
  <si>
    <t>2023 Depreciation Expense</t>
  </si>
  <si>
    <t xml:space="preserve">System 2021 Total Operating Revenue </t>
  </si>
  <si>
    <t xml:space="preserve">System 2021 Total Operating Income </t>
  </si>
  <si>
    <t>System 2021 Depreciation Expense</t>
  </si>
  <si>
    <t xml:space="preserve">System 2022 Total Operating Revenue </t>
  </si>
  <si>
    <t xml:space="preserve">System 2022 Total Operating Income </t>
  </si>
  <si>
    <t>System 2022 Depreciation Expense</t>
  </si>
  <si>
    <t xml:space="preserve">System 2023 Total Operating Revenue </t>
  </si>
  <si>
    <t xml:space="preserve">System 2023 Total Operating Income </t>
  </si>
  <si>
    <t>System 2023 Depreciation Expense</t>
  </si>
  <si>
    <t>Agg Total Operating Revenue</t>
  </si>
  <si>
    <t>Agg Total Operating Net Income</t>
  </si>
  <si>
    <t>Agg Depreciation Expense</t>
  </si>
  <si>
    <t>System Agg Total Operating Revenue</t>
  </si>
  <si>
    <t>System Agg Total Operating Net Income</t>
  </si>
  <si>
    <t>System Agg Depreciation Expense</t>
  </si>
  <si>
    <t>Agg Operating Cash Flow Margin</t>
  </si>
  <si>
    <t>System Agg Operating Cash Flow Margin</t>
  </si>
  <si>
    <r>
      <t>System or Hospital Operating Cash Flow Margin % 
(whichever is higher)</t>
    </r>
    <r>
      <rPr>
        <b/>
        <sz val="8"/>
        <rFont val="Calibri"/>
        <family val="2"/>
        <scheme val="minor"/>
      </rPr>
      <t xml:space="preserve"> Based on up to 3 yrs worth of Hospital Provided Data 2021-2023</t>
    </r>
  </si>
  <si>
    <t>Missing Solvency Metric Data</t>
  </si>
  <si>
    <t>General</t>
  </si>
  <si>
    <t>N/A</t>
  </si>
  <si>
    <t>Missing 2021 and 2022 data</t>
  </si>
  <si>
    <t/>
  </si>
  <si>
    <t>New Hospital, system metric available</t>
  </si>
  <si>
    <t>Critical Access</t>
  </si>
  <si>
    <t>Children</t>
  </si>
  <si>
    <t>DATA FOR FY 25-26 LOW DISCHARGE UP TO 3 YEAR AVERAGE - HCRIS COST REPORT DATA - WKSHT S-3, PART 1</t>
  </si>
  <si>
    <r>
      <t xml:space="preserve">DISCHARGE DATA:  </t>
    </r>
    <r>
      <rPr>
        <sz val="11"/>
        <color theme="1"/>
        <rFont val="Calibri"/>
        <family val="2"/>
        <scheme val="minor"/>
      </rPr>
      <t>COLUMN 15, LINES 14, 16, 17, 18</t>
    </r>
  </si>
  <si>
    <t>Medicare ID</t>
  </si>
  <si>
    <t>CCN without leading 0</t>
  </si>
  <si>
    <t>Provider Name</t>
  </si>
  <si>
    <t>Discharge Cost Report Yrs</t>
  </si>
  <si>
    <t>3 YR AVG</t>
  </si>
  <si>
    <t>Formula working correctly</t>
  </si>
  <si>
    <t>2020, 2021, 2023</t>
  </si>
  <si>
    <t>2022 changed FY ending so two cost reports only 6 months in length</t>
  </si>
  <si>
    <t>full year cost report not yet available</t>
  </si>
  <si>
    <r>
      <rPr>
        <b/>
        <sz val="11"/>
        <color theme="1"/>
        <rFont val="Calibri"/>
        <family val="2"/>
        <scheme val="minor"/>
      </rPr>
      <t>Note:</t>
    </r>
    <r>
      <rPr>
        <sz val="11"/>
        <color theme="1"/>
        <rFont val="Calibri"/>
        <family val="2"/>
        <scheme val="minor"/>
      </rPr>
      <t xml:space="preserve">  Contains only cost reports with 364/355 days between start and end dates.</t>
    </r>
  </si>
  <si>
    <t>FY25-26 PAYER MIX UP TO 3 YEAR AVERAGE - HCRIS COST REPORT DATA - WORKSHEET S-3, PART 1</t>
  </si>
  <si>
    <r>
      <rPr>
        <b/>
        <sz val="11"/>
        <color theme="1"/>
        <rFont val="Calibri"/>
        <family val="2"/>
        <scheme val="minor"/>
      </rPr>
      <t>PAYER MIX NUMERATOR</t>
    </r>
    <r>
      <rPr>
        <sz val="11"/>
        <color theme="1"/>
        <rFont val="Calibri"/>
        <family val="2"/>
        <scheme val="minor"/>
      </rPr>
      <t xml:space="preserve">: COLUMN 7, LINES 2,3,4,14,16,17,18. </t>
    </r>
    <r>
      <rPr>
        <b/>
        <sz val="11"/>
        <color theme="1"/>
        <rFont val="Calibri"/>
        <family val="2"/>
        <scheme val="minor"/>
      </rPr>
      <t>PAYER MIX DENOMINATOR:</t>
    </r>
    <r>
      <rPr>
        <sz val="11"/>
        <color theme="1"/>
        <rFont val="Calibri"/>
        <family val="2"/>
        <scheme val="minor"/>
      </rPr>
      <t xml:space="preserve"> COLUMN 8, LINES 14,16,17,18.</t>
    </r>
  </si>
  <si>
    <t>PRVDR_NUM</t>
  </si>
  <si>
    <t>COL 7</t>
  </si>
  <si>
    <t>COL 8</t>
  </si>
  <si>
    <t>QC of Column P formula</t>
  </si>
  <si>
    <t xml:space="preserve">This document contains various data inputs that are entered into the Inpatient Base Rate 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</si>
</sst>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0.0000_);\(#,##0.0000\)"/>
    <numFmt numFmtId="166" formatCode="0.0000"/>
    <numFmt numFmtId="167" formatCode="&quot;$&quot;#,##0.00"/>
    <numFmt numFmtId="168" formatCode="0.00000"/>
    <numFmt numFmtId="169" formatCode="#,###;\(#,###\)"/>
    <numFmt numFmtId="170" formatCode="0.000"/>
    <numFmt numFmtId="171" formatCode="0.000000000"/>
    <numFmt numFmtId="172" formatCode="0.0000000000"/>
    <numFmt numFmtId="173" formatCode="0.00000000000"/>
    <numFmt numFmtId="174" formatCode="#,##0.000000_);\(#,##0.000000\)"/>
  </numFmts>
  <fonts count="95" x14ac:knownFonts="1">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11"/>
      <color theme="0"/>
      <name val="Calibri"/>
      <family val="2"/>
      <scheme val="minor"/>
    </font>
    <font>
      <u/>
      <sz val="11"/>
      <color theme="10"/>
      <name val="Calibri"/>
      <family val="2"/>
      <scheme val="minor"/>
    </font>
    <font>
      <b/>
      <sz val="11"/>
      <name val="Calibri"/>
      <family val="2"/>
      <scheme val="minor"/>
    </font>
    <font>
      <b/>
      <sz val="8"/>
      <name val="Calibri"/>
      <family val="2"/>
      <scheme val="minor"/>
    </font>
    <font>
      <b/>
      <sz val="9"/>
      <name val="Calibri"/>
      <family val="2"/>
      <scheme val="minor"/>
    </font>
    <font>
      <sz val="11"/>
      <name val="Calibri"/>
      <family val="2"/>
      <scheme val="minor"/>
    </font>
    <font>
      <sz val="10"/>
      <name val="Calibri"/>
      <family val="2"/>
      <scheme val="minor"/>
    </font>
    <font>
      <sz val="8"/>
      <name val="Calibri"/>
      <family val="2"/>
      <scheme val="minor"/>
    </font>
    <font>
      <b/>
      <sz val="10"/>
      <name val="Calibri"/>
      <family val="2"/>
      <scheme val="minor"/>
    </font>
    <font>
      <sz val="10"/>
      <color rgb="FFFF0000"/>
      <name val="Calibri"/>
      <family val="2"/>
      <scheme val="minor"/>
    </font>
    <font>
      <i/>
      <sz val="10"/>
      <color rgb="FFFF0000"/>
      <name val="Calibri"/>
      <family val="2"/>
      <scheme val="minor"/>
    </font>
    <font>
      <sz val="10"/>
      <name val="Times New Roman"/>
      <family val="1"/>
    </font>
    <font>
      <u/>
      <sz val="10"/>
      <color theme="10"/>
      <name val="Times New Roman"/>
      <family val="1"/>
    </font>
    <font>
      <sz val="9"/>
      <name val="Calibri"/>
      <family val="2"/>
      <scheme val="minor"/>
    </font>
    <font>
      <sz val="11"/>
      <name val="Calibri"/>
      <family val="2"/>
    </font>
    <font>
      <sz val="8"/>
      <color theme="1"/>
      <name val="Calibri"/>
      <family val="2"/>
      <scheme val="minor"/>
    </font>
    <font>
      <sz val="11"/>
      <color rgb="FFFF0000"/>
      <name val="Calibri"/>
      <family val="2"/>
      <scheme val="minor"/>
    </font>
    <font>
      <b/>
      <u/>
      <sz val="10"/>
      <name val="Calibri"/>
      <family val="2"/>
      <scheme val="minor"/>
    </font>
    <font>
      <sz val="12"/>
      <color theme="1"/>
      <name val="Calibri"/>
      <family val="2"/>
      <scheme val="minor"/>
    </font>
    <font>
      <b/>
      <sz val="11"/>
      <color theme="0"/>
      <name val="Calibri"/>
      <family val="2"/>
      <scheme val="minor"/>
    </font>
    <font>
      <i/>
      <sz val="10"/>
      <name val="Calibri"/>
      <family val="2"/>
      <scheme val="minor"/>
    </font>
    <font>
      <b/>
      <sz val="14"/>
      <name val="Arial"/>
      <family val="2"/>
    </font>
    <font>
      <b/>
      <sz val="11"/>
      <name val="Arial"/>
      <family val="2"/>
    </font>
    <font>
      <sz val="11"/>
      <name val="Arial"/>
      <family val="2"/>
    </font>
    <font>
      <sz val="12"/>
      <name val="Arial"/>
      <family val="2"/>
    </font>
    <font>
      <sz val="10"/>
      <name val="Arial"/>
      <family val="2"/>
    </font>
    <font>
      <b/>
      <sz val="10"/>
      <name val="Arial"/>
      <family val="2"/>
    </font>
    <font>
      <sz val="11"/>
      <color rgb="FF000000"/>
      <name val="Calibri"/>
      <family val="2"/>
      <scheme val="minor"/>
    </font>
    <font>
      <b/>
      <sz val="14"/>
      <color theme="0"/>
      <name val="Calibri"/>
      <family val="2"/>
      <scheme val="minor"/>
    </font>
    <font>
      <sz val="11"/>
      <color rgb="FF0070C0"/>
      <name val="Calibri"/>
      <family val="2"/>
      <scheme val="minor"/>
    </font>
    <font>
      <sz val="10"/>
      <color theme="1"/>
      <name val="Arial"/>
      <family val="2"/>
    </font>
    <font>
      <b/>
      <sz val="11"/>
      <color rgb="FF00B05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sz val="10"/>
      <name val="Arial"/>
      <family val="2"/>
    </font>
    <font>
      <sz val="11"/>
      <color theme="1"/>
      <name val="Arial"/>
      <family val="2"/>
    </font>
    <font>
      <sz val="11"/>
      <name val="Calibri"/>
      <family val="2"/>
    </font>
    <font>
      <b/>
      <sz val="11"/>
      <color rgb="FF17365D"/>
      <name val="Calibri"/>
      <family val="2"/>
      <scheme val="minor"/>
    </font>
    <font>
      <b/>
      <sz val="12"/>
      <color theme="1"/>
      <name val="Calibri"/>
      <family val="2"/>
      <scheme val="minor"/>
    </font>
    <font>
      <sz val="11"/>
      <color rgb="FF333333"/>
      <name val="Calibri"/>
      <family val="2"/>
      <scheme val="minor"/>
    </font>
    <font>
      <vertAlign val="superscript"/>
      <sz val="11"/>
      <name val="Calibri"/>
      <family val="2"/>
      <scheme val="minor"/>
    </font>
    <font>
      <b/>
      <sz val="14"/>
      <name val="Calibri"/>
      <family val="2"/>
      <scheme val="minor"/>
    </font>
    <font>
      <sz val="11"/>
      <color rgb="FF00B050"/>
      <name val="Calibri"/>
      <family val="2"/>
      <scheme val="minor"/>
    </font>
    <font>
      <u/>
      <sz val="12"/>
      <name val="Calibri"/>
      <family val="2"/>
      <scheme val="minor"/>
    </font>
    <font>
      <b/>
      <u/>
      <sz val="12"/>
      <name val="Calibri"/>
      <family val="2"/>
      <scheme val="minor"/>
    </font>
    <font>
      <sz val="12"/>
      <name val="Calibri"/>
      <family val="2"/>
      <scheme val="minor"/>
    </font>
    <font>
      <b/>
      <sz val="12"/>
      <name val="Calibri"/>
      <family val="2"/>
      <scheme val="minor"/>
    </font>
    <font>
      <b/>
      <sz val="14"/>
      <color theme="1"/>
      <name val="Calibri"/>
      <family val="2"/>
      <scheme val="minor"/>
    </font>
    <font>
      <b/>
      <sz val="20"/>
      <color theme="1"/>
      <name val="Calibri"/>
      <family val="2"/>
      <scheme val="minor"/>
    </font>
    <font>
      <u/>
      <sz val="11"/>
      <name val="Calibri"/>
      <family val="2"/>
      <scheme val="minor"/>
    </font>
    <font>
      <b/>
      <u/>
      <sz val="11"/>
      <color theme="1"/>
      <name val="Calibri"/>
      <family val="2"/>
      <scheme val="minor"/>
    </font>
    <font>
      <b/>
      <sz val="12"/>
      <color theme="2" tint="-0.89999084444715716"/>
      <name val="Arial"/>
      <family val="2"/>
    </font>
    <font>
      <b/>
      <sz val="12"/>
      <color theme="0"/>
      <name val="Arial"/>
      <family val="2"/>
    </font>
    <font>
      <b/>
      <sz val="8"/>
      <name val="Arial"/>
      <family val="2"/>
    </font>
    <font>
      <u/>
      <sz val="8"/>
      <color theme="10"/>
      <name val="Calibri"/>
      <family val="2"/>
      <scheme val="minor"/>
    </font>
    <font>
      <i/>
      <sz val="10"/>
      <color theme="1"/>
      <name val="Calibri"/>
      <family val="2"/>
      <scheme val="minor"/>
    </font>
    <font>
      <sz val="11"/>
      <color theme="4"/>
      <name val="Calibri"/>
      <family val="2"/>
      <scheme val="minor"/>
    </font>
    <font>
      <b/>
      <u/>
      <sz val="8"/>
      <color theme="10"/>
      <name val="Calibri"/>
      <family val="2"/>
      <scheme val="minor"/>
    </font>
    <font>
      <b/>
      <sz val="8"/>
      <color theme="8" tint="-0.499984740745262"/>
      <name val="Arial"/>
      <family val="2"/>
    </font>
    <font>
      <u/>
      <sz val="9"/>
      <color theme="10"/>
      <name val="Calibri"/>
      <family val="2"/>
      <scheme val="minor"/>
    </font>
    <font>
      <i/>
      <sz val="10"/>
      <color theme="4"/>
      <name val="Calibri"/>
      <family val="2"/>
      <scheme val="minor"/>
    </font>
    <font>
      <b/>
      <u/>
      <sz val="11"/>
      <name val="Calibri"/>
      <family val="2"/>
      <scheme val="minor"/>
    </font>
    <font>
      <b/>
      <sz val="29"/>
      <color rgb="FF001254"/>
      <name val="Trebuchet MS"/>
      <family val="2"/>
    </font>
    <font>
      <sz val="11"/>
      <color rgb="FF000000"/>
      <name val="Trebuchet MS"/>
      <family val="2"/>
    </font>
    <font>
      <b/>
      <sz val="14"/>
      <color rgb="FF001254"/>
      <name val="Calibri"/>
      <family val="2"/>
      <scheme val="minor"/>
    </font>
    <font>
      <sz val="14"/>
      <name val="Calibri"/>
      <family val="2"/>
      <scheme val="minor"/>
    </font>
    <font>
      <sz val="12"/>
      <color rgb="FF000000"/>
      <name val="Calibri"/>
      <family val="2"/>
      <scheme val="minor"/>
    </font>
    <font>
      <u/>
      <sz val="12"/>
      <color rgb="FF0000CC"/>
      <name val="Calibri"/>
      <family val="2"/>
      <scheme val="minor"/>
    </font>
    <font>
      <b/>
      <u/>
      <sz val="12"/>
      <color rgb="FF000000"/>
      <name val="Calibri"/>
      <family val="2"/>
      <scheme val="minor"/>
    </font>
    <font>
      <u/>
      <sz val="12"/>
      <color rgb="FF0000FF"/>
      <name val="Calibri"/>
      <family val="2"/>
      <scheme val="minor"/>
    </font>
    <font>
      <sz val="12"/>
      <color rgb="FF0000CC"/>
      <name val="Calibri"/>
      <family val="2"/>
      <scheme val="minor"/>
    </font>
    <font>
      <b/>
      <u/>
      <sz val="12"/>
      <color rgb="FF0000CC"/>
      <name val="Calibri"/>
      <family val="2"/>
      <scheme val="minor"/>
    </font>
    <font>
      <b/>
      <u/>
      <sz val="16"/>
      <color rgb="FF0000CC"/>
      <name val="Calibri"/>
      <family val="2"/>
      <scheme val="minor"/>
    </font>
    <font>
      <u/>
      <sz val="12"/>
      <color theme="10"/>
      <name val="Calibri"/>
      <family val="2"/>
      <scheme val="minor"/>
    </font>
    <font>
      <b/>
      <sz val="16"/>
      <color theme="1"/>
      <name val="Calibri"/>
      <family val="2"/>
      <scheme val="minor"/>
    </font>
    <font>
      <b/>
      <sz val="12"/>
      <color rgb="FF0070C0"/>
      <name val="Calibri"/>
      <family val="2"/>
      <scheme val="minor"/>
    </font>
    <font>
      <b/>
      <sz val="12"/>
      <color rgb="FF005EAC"/>
      <name val="Calibri"/>
      <family val="2"/>
      <scheme val="minor"/>
    </font>
    <font>
      <b/>
      <u/>
      <sz val="12"/>
      <color rgb="FF005EAC"/>
      <name val="Calibri"/>
      <family val="2"/>
      <scheme val="minor"/>
    </font>
  </fonts>
  <fills count="5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indexed="8"/>
        <bgColor indexed="64"/>
      </patternFill>
    </fill>
    <fill>
      <patternFill patternType="solid">
        <fgColor rgb="FFDDEBF7"/>
        <bgColor indexed="64"/>
      </patternFill>
    </fill>
    <fill>
      <patternFill patternType="solid">
        <fgColor rgb="FFFFFFCC"/>
      </patternFill>
    </fill>
    <fill>
      <patternFill patternType="solid">
        <fgColor theme="9" tint="0.39997558519241921"/>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theme="4" tint="0.79998168889431442"/>
      </patternFill>
    </fill>
    <fill>
      <patternFill patternType="solid">
        <fgColor theme="4" tint="0.39997558519241921"/>
        <bgColor indexed="64"/>
      </patternFill>
    </fill>
    <fill>
      <patternFill patternType="solid">
        <fgColor rgb="FFFFFF00"/>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s>
  <cellStyleXfs count="63">
    <xf numFmtId="0" fontId="0" fillId="0" borderId="0"/>
    <xf numFmtId="9" fontId="3" fillId="0" borderId="0" applyFont="0" applyFill="0" applyBorder="0" applyAlignment="0" applyProtection="0"/>
    <xf numFmtId="43" fontId="3" fillId="0" borderId="0" applyFont="0" applyFill="0" applyBorder="0" applyAlignment="0" applyProtection="0"/>
    <xf numFmtId="0" fontId="8" fillId="0" borderId="0" applyNumberFormat="0" applyFill="0" applyBorder="0" applyAlignment="0" applyProtection="0"/>
    <xf numFmtId="44" fontId="3" fillId="0" borderId="0" applyFont="0" applyFill="0" applyBorder="0" applyAlignment="0" applyProtection="0"/>
    <xf numFmtId="0" fontId="18" fillId="0" borderId="0"/>
    <xf numFmtId="0" fontId="19" fillId="0" borderId="0" applyNumberFormat="0" applyFill="0" applyBorder="0" applyAlignment="0" applyProtection="0"/>
    <xf numFmtId="0" fontId="18" fillId="0" borderId="0"/>
    <xf numFmtId="169" fontId="18" fillId="0" borderId="0" applyFont="0" applyFill="0" applyBorder="0" applyAlignment="0" applyProtection="0"/>
    <xf numFmtId="0" fontId="32" fillId="0" borderId="0"/>
    <xf numFmtId="0" fontId="3" fillId="0" borderId="0"/>
    <xf numFmtId="0" fontId="32" fillId="0" borderId="0"/>
    <xf numFmtId="14" fontId="37" fillId="6" borderId="0" applyFont="0" applyFill="0" applyBorder="0" applyProtection="0">
      <alignment horizontal="center" vertical="center"/>
    </xf>
    <xf numFmtId="0" fontId="37" fillId="0" borderId="0"/>
    <xf numFmtId="0" fontId="8" fillId="0" borderId="0" applyNumberFormat="0" applyFont="0" applyFill="0" applyBorder="0" applyAlignment="0" applyProtection="0"/>
    <xf numFmtId="0" fontId="21" fillId="0" borderId="0"/>
    <xf numFmtId="0" fontId="3" fillId="0" borderId="0"/>
    <xf numFmtId="0" fontId="3" fillId="0" borderId="0"/>
    <xf numFmtId="0" fontId="32" fillId="17" borderId="0">
      <alignment horizontal="center" vertical="center" wrapText="1"/>
    </xf>
    <xf numFmtId="0" fontId="3" fillId="18" borderId="12" applyNumberFormat="0" applyFont="0" applyAlignment="0" applyProtection="0"/>
    <xf numFmtId="0" fontId="39" fillId="0" borderId="0" applyNumberFormat="0" applyFill="0" applyBorder="0" applyAlignment="0" applyProtection="0"/>
    <xf numFmtId="0" fontId="40" fillId="0" borderId="13" applyNumberFormat="0" applyFill="0" applyAlignment="0" applyProtection="0"/>
    <xf numFmtId="0" fontId="41" fillId="0" borderId="14" applyNumberFormat="0" applyFill="0" applyAlignment="0" applyProtection="0"/>
    <xf numFmtId="0" fontId="42" fillId="0" borderId="15" applyNumberFormat="0" applyFill="0" applyAlignment="0" applyProtection="0"/>
    <xf numFmtId="0" fontId="42" fillId="0" borderId="0" applyNumberFormat="0" applyFill="0" applyBorder="0" applyAlignment="0" applyProtection="0"/>
    <xf numFmtId="0" fontId="43" fillId="21" borderId="0" applyNumberFormat="0" applyBorder="0" applyAlignment="0" applyProtection="0"/>
    <xf numFmtId="0" fontId="44" fillId="22" borderId="0" applyNumberFormat="0" applyBorder="0" applyAlignment="0" applyProtection="0"/>
    <xf numFmtId="0" fontId="45" fillId="24" borderId="16" applyNumberFormat="0" applyAlignment="0" applyProtection="0"/>
    <xf numFmtId="0" fontId="46" fillId="25" borderId="17" applyNumberFormat="0" applyAlignment="0" applyProtection="0"/>
    <xf numFmtId="0" fontId="47" fillId="25" borderId="16" applyNumberFormat="0" applyAlignment="0" applyProtection="0"/>
    <xf numFmtId="0" fontId="48" fillId="0" borderId="18" applyNumberFormat="0" applyFill="0" applyAlignment="0" applyProtection="0"/>
    <xf numFmtId="0" fontId="26" fillId="26" borderId="19" applyNumberFormat="0" applyAlignment="0" applyProtection="0"/>
    <xf numFmtId="0" fontId="23" fillId="0" borderId="0" applyNumberFormat="0" applyFill="0" applyBorder="0" applyAlignment="0" applyProtection="0"/>
    <xf numFmtId="0" fontId="49" fillId="0" borderId="0" applyNumberFormat="0" applyFill="0" applyBorder="0" applyAlignment="0" applyProtection="0"/>
    <xf numFmtId="0" fontId="6" fillId="0" borderId="20" applyNumberFormat="0" applyFill="0" applyAlignment="0" applyProtection="0"/>
    <xf numFmtId="0" fontId="7"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7"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7"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7"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7"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7"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50" fillId="23"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38" borderId="0" applyNumberFormat="0" applyBorder="0" applyAlignment="0" applyProtection="0"/>
    <xf numFmtId="0" fontId="7" fillId="42" borderId="0" applyNumberFormat="0" applyBorder="0" applyAlignment="0" applyProtection="0"/>
    <xf numFmtId="0" fontId="7" fillId="46" borderId="0" applyNumberFormat="0" applyBorder="0" applyAlignment="0" applyProtection="0"/>
    <xf numFmtId="0" fontId="7" fillId="50" borderId="0" applyNumberFormat="0" applyBorder="0" applyAlignment="0" applyProtection="0"/>
    <xf numFmtId="0" fontId="51" fillId="0" borderId="0"/>
    <xf numFmtId="0" fontId="53" fillId="0" borderId="23">
      <alignment horizontal="center"/>
    </xf>
    <xf numFmtId="9" fontId="32" fillId="0" borderId="0" applyFont="0" applyFill="0" applyBorder="0" applyAlignment="0" applyProtection="0"/>
  </cellStyleXfs>
  <cellXfs count="564">
    <xf numFmtId="0" fontId="0" fillId="0" borderId="0" xfId="0"/>
    <xf numFmtId="0" fontId="1" fillId="0" borderId="0" xfId="0" applyFont="1" applyAlignment="1">
      <alignment horizontal="center"/>
    </xf>
    <xf numFmtId="0" fontId="1" fillId="0" borderId="0" xfId="0" applyFont="1"/>
    <xf numFmtId="0" fontId="0" fillId="6" borderId="0" xfId="0" applyFill="1"/>
    <xf numFmtId="0" fontId="9" fillId="7" borderId="1" xfId="0" applyFont="1" applyFill="1" applyBorder="1" applyAlignment="1">
      <alignment horizontal="left" vertical="center"/>
    </xf>
    <xf numFmtId="0" fontId="12" fillId="6" borderId="1" xfId="0" applyFont="1" applyFill="1" applyBorder="1" applyAlignment="1">
      <alignment horizontal="left" vertical="center"/>
    </xf>
    <xf numFmtId="0" fontId="12" fillId="0" borderId="0" xfId="0" applyFont="1"/>
    <xf numFmtId="2" fontId="12" fillId="6" borderId="0" xfId="0" applyNumberFormat="1" applyFont="1" applyFill="1"/>
    <xf numFmtId="0" fontId="12" fillId="6" borderId="0" xfId="0" applyFont="1" applyFill="1" applyAlignment="1">
      <alignment vertical="center"/>
    </xf>
    <xf numFmtId="49" fontId="12" fillId="6" borderId="0" xfId="0" applyNumberFormat="1" applyFont="1" applyFill="1" applyAlignment="1">
      <alignment vertical="center"/>
    </xf>
    <xf numFmtId="0" fontId="12" fillId="6" borderId="1" xfId="0" applyFont="1" applyFill="1" applyBorder="1" applyAlignment="1">
      <alignment horizontal="center" vertical="center"/>
    </xf>
    <xf numFmtId="2" fontId="12" fillId="6" borderId="7" xfId="0" applyNumberFormat="1" applyFont="1" applyFill="1" applyBorder="1"/>
    <xf numFmtId="0" fontId="12" fillId="6" borderId="7" xfId="0" applyFont="1" applyFill="1" applyBorder="1" applyAlignment="1">
      <alignment vertical="center"/>
    </xf>
    <xf numFmtId="2" fontId="12" fillId="7" borderId="1" xfId="0" applyNumberFormat="1" applyFont="1" applyFill="1" applyBorder="1" applyAlignment="1">
      <alignment horizontal="center" vertical="center" wrapText="1"/>
    </xf>
    <xf numFmtId="49" fontId="12" fillId="7" borderId="1"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49" fontId="12" fillId="6" borderId="1" xfId="0" applyNumberFormat="1" applyFont="1" applyFill="1" applyBorder="1" applyAlignment="1">
      <alignment horizontal="center" vertical="center" wrapText="1"/>
    </xf>
    <xf numFmtId="0" fontId="12" fillId="6" borderId="7"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2" fillId="6" borderId="0" xfId="0" applyFont="1" applyFill="1" applyAlignment="1">
      <alignment horizontal="center" vertical="center"/>
    </xf>
    <xf numFmtId="49" fontId="12" fillId="6" borderId="1" xfId="0" applyNumberFormat="1" applyFont="1" applyFill="1" applyBorder="1" applyAlignment="1">
      <alignment horizontal="left" vertical="center" wrapText="1"/>
    </xf>
    <xf numFmtId="49" fontId="12" fillId="6" borderId="1" xfId="0" applyNumberFormat="1" applyFont="1" applyFill="1" applyBorder="1" applyAlignment="1">
      <alignment horizontal="center" vertical="center"/>
    </xf>
    <xf numFmtId="167" fontId="12" fillId="6" borderId="1" xfId="2" applyNumberFormat="1" applyFont="1" applyFill="1" applyBorder="1" applyAlignment="1">
      <alignment horizontal="left" vertical="center"/>
    </xf>
    <xf numFmtId="49" fontId="12" fillId="6" borderId="1" xfId="0" quotePrefix="1" applyNumberFormat="1" applyFont="1" applyFill="1" applyBorder="1" applyAlignment="1">
      <alignment horizontal="center" vertical="center" wrapText="1"/>
    </xf>
    <xf numFmtId="2" fontId="9" fillId="6" borderId="0" xfId="0" applyNumberFormat="1" applyFont="1" applyFill="1" applyAlignment="1">
      <alignment horizontal="center" vertical="center"/>
    </xf>
    <xf numFmtId="0" fontId="9" fillId="6" borderId="0" xfId="0" applyFont="1" applyFill="1" applyAlignment="1">
      <alignment horizontal="center" vertical="center"/>
    </xf>
    <xf numFmtId="49" fontId="9" fillId="6" borderId="0" xfId="0" applyNumberFormat="1" applyFont="1" applyFill="1" applyAlignment="1">
      <alignment horizontal="center" vertical="center"/>
    </xf>
    <xf numFmtId="0" fontId="12" fillId="6" borderId="0" xfId="0" applyFont="1" applyFill="1" applyAlignment="1">
      <alignment horizontal="center" vertical="center" wrapText="1"/>
    </xf>
    <xf numFmtId="0" fontId="9" fillId="6" borderId="0" xfId="0" applyFont="1" applyFill="1" applyAlignment="1">
      <alignment horizontal="left" vertical="center"/>
    </xf>
    <xf numFmtId="0" fontId="9" fillId="6" borderId="0" xfId="0" applyFont="1" applyFill="1" applyAlignment="1">
      <alignment horizontal="right" vertical="center"/>
    </xf>
    <xf numFmtId="0" fontId="12" fillId="6" borderId="0" xfId="0" applyFont="1" applyFill="1" applyAlignment="1">
      <alignment horizontal="left"/>
    </xf>
    <xf numFmtId="0" fontId="12" fillId="6" borderId="0" xfId="0" applyFont="1" applyFill="1" applyAlignment="1">
      <alignment horizontal="right" vertical="center"/>
    </xf>
    <xf numFmtId="0" fontId="11" fillId="6" borderId="0" xfId="0" applyFont="1" applyFill="1" applyAlignment="1">
      <alignment horizontal="center" vertical="center"/>
    </xf>
    <xf numFmtId="0" fontId="12" fillId="6" borderId="0" xfId="0" applyFont="1" applyFill="1"/>
    <xf numFmtId="166" fontId="12" fillId="6" borderId="0" xfId="0" applyNumberFormat="1" applyFont="1" applyFill="1" applyAlignment="1">
      <alignment horizontal="center" vertical="center"/>
    </xf>
    <xf numFmtId="167" fontId="12" fillId="6" borderId="0" xfId="0" applyNumberFormat="1" applyFont="1" applyFill="1" applyAlignment="1">
      <alignment horizontal="center" vertical="center"/>
    </xf>
    <xf numFmtId="9" fontId="9" fillId="6" borderId="0" xfId="1" applyFont="1" applyFill="1" applyAlignment="1">
      <alignment horizontal="center" vertical="center"/>
    </xf>
    <xf numFmtId="9" fontId="12" fillId="6" borderId="0" xfId="1" applyFont="1" applyFill="1" applyAlignment="1">
      <alignment horizontal="center" vertical="center"/>
    </xf>
    <xf numFmtId="2"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xf>
    <xf numFmtId="0" fontId="13" fillId="0" borderId="0" xfId="0" applyFont="1" applyAlignment="1">
      <alignment horizontal="center"/>
    </xf>
    <xf numFmtId="0" fontId="13" fillId="6" borderId="0" xfId="0" applyFont="1" applyFill="1"/>
    <xf numFmtId="7" fontId="13" fillId="6" borderId="0" xfId="0" applyNumberFormat="1" applyFont="1" applyFill="1"/>
    <xf numFmtId="49" fontId="9" fillId="13" borderId="1" xfId="0" applyNumberFormat="1"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 fillId="6" borderId="0" xfId="0" applyFont="1" applyFill="1"/>
    <xf numFmtId="0" fontId="1" fillId="0" borderId="1" xfId="0" applyFont="1" applyBorder="1" applyAlignment="1">
      <alignment horizontal="center"/>
    </xf>
    <xf numFmtId="0" fontId="12" fillId="0" borderId="0" xfId="0" applyFont="1" applyAlignment="1">
      <alignment vertical="center"/>
    </xf>
    <xf numFmtId="167" fontId="0" fillId="6" borderId="0" xfId="0" applyNumberFormat="1" applyFill="1" applyAlignment="1">
      <alignment horizontal="center"/>
    </xf>
    <xf numFmtId="0" fontId="15" fillId="2" borderId="1" xfId="0" applyFont="1" applyFill="1" applyBorder="1" applyAlignment="1">
      <alignment horizontal="center" vertical="center" wrapText="1"/>
    </xf>
    <xf numFmtId="164" fontId="1" fillId="0" borderId="0" xfId="0" applyNumberFormat="1" applyFont="1" applyAlignment="1">
      <alignment horizontal="center"/>
    </xf>
    <xf numFmtId="0" fontId="25" fillId="6" borderId="0" xfId="0" applyFont="1" applyFill="1"/>
    <xf numFmtId="0" fontId="6"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0" fillId="0" borderId="0" xfId="0" applyAlignment="1">
      <alignment horizontal="center"/>
    </xf>
    <xf numFmtId="0" fontId="23" fillId="0" borderId="0" xfId="0" applyFont="1"/>
    <xf numFmtId="0" fontId="29" fillId="3" borderId="1" xfId="0" applyFont="1" applyFill="1" applyBorder="1" applyAlignment="1">
      <alignment horizontal="center" vertical="center"/>
    </xf>
    <xf numFmtId="0" fontId="29" fillId="7" borderId="1" xfId="0" applyFont="1" applyFill="1" applyBorder="1" applyAlignment="1">
      <alignment horizontal="center" vertical="center"/>
    </xf>
    <xf numFmtId="0" fontId="30" fillId="6" borderId="1" xfId="0" applyFont="1" applyFill="1" applyBorder="1" applyAlignment="1">
      <alignment vertical="center"/>
    </xf>
    <xf numFmtId="167" fontId="30" fillId="6" borderId="1" xfId="0" applyNumberFormat="1" applyFont="1" applyFill="1" applyBorder="1" applyAlignment="1">
      <alignment horizontal="center" vertical="center"/>
    </xf>
    <xf numFmtId="8" fontId="30" fillId="6" borderId="1" xfId="0" applyNumberFormat="1" applyFont="1" applyFill="1" applyBorder="1" applyAlignment="1">
      <alignment horizontal="center" vertical="center"/>
    </xf>
    <xf numFmtId="0" fontId="29" fillId="9" borderId="1" xfId="0" applyFont="1" applyFill="1" applyBorder="1" applyAlignment="1">
      <alignment vertical="center"/>
    </xf>
    <xf numFmtId="167" fontId="29" fillId="9" borderId="1" xfId="0" applyNumberFormat="1" applyFont="1" applyFill="1" applyBorder="1" applyAlignment="1">
      <alignment horizontal="center" vertical="center"/>
    </xf>
    <xf numFmtId="0" fontId="7" fillId="15" borderId="1" xfId="0" applyFont="1" applyFill="1" applyBorder="1"/>
    <xf numFmtId="0" fontId="7" fillId="15" borderId="1" xfId="0" applyFont="1" applyFill="1" applyBorder="1" applyAlignment="1">
      <alignment horizontal="center"/>
    </xf>
    <xf numFmtId="49" fontId="0" fillId="0" borderId="0" xfId="0" applyNumberFormat="1"/>
    <xf numFmtId="1" fontId="0" fillId="0" borderId="0" xfId="0" applyNumberFormat="1"/>
    <xf numFmtId="166" fontId="0" fillId="0" borderId="0" xfId="0" applyNumberFormat="1"/>
    <xf numFmtId="0" fontId="0" fillId="0" borderId="0" xfId="0" applyAlignment="1">
      <alignment vertical="center"/>
    </xf>
    <xf numFmtId="9" fontId="9" fillId="5" borderId="4" xfId="1" applyFont="1" applyFill="1" applyBorder="1" applyAlignment="1">
      <alignment horizontal="center" vertical="center" wrapText="1"/>
    </xf>
    <xf numFmtId="10" fontId="9" fillId="4" borderId="1" xfId="1" applyNumberFormat="1" applyFont="1" applyFill="1" applyBorder="1" applyAlignment="1">
      <alignment horizontal="center" vertical="center" wrapText="1"/>
    </xf>
    <xf numFmtId="0" fontId="9" fillId="4" borderId="1" xfId="3" applyFont="1" applyFill="1" applyBorder="1" applyAlignment="1">
      <alignment horizontal="center" vertical="center" wrapText="1"/>
    </xf>
    <xf numFmtId="49"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left"/>
    </xf>
    <xf numFmtId="0" fontId="0" fillId="0" borderId="0" xfId="0" quotePrefix="1"/>
    <xf numFmtId="0" fontId="16" fillId="0" borderId="0" xfId="0" applyFont="1"/>
    <xf numFmtId="2" fontId="36" fillId="6" borderId="0" xfId="0" applyNumberFormat="1" applyFont="1" applyFill="1" applyAlignment="1">
      <alignment horizontal="center" vertical="center" wrapText="1"/>
    </xf>
    <xf numFmtId="44" fontId="0" fillId="6" borderId="0" xfId="4" applyFont="1" applyFill="1"/>
    <xf numFmtId="44" fontId="0" fillId="6" borderId="0" xfId="0" applyNumberFormat="1" applyFill="1"/>
    <xf numFmtId="10" fontId="0" fillId="6" borderId="0" xfId="0" applyNumberFormat="1" applyFill="1"/>
    <xf numFmtId="0" fontId="12" fillId="6" borderId="0" xfId="0" quotePrefix="1" applyFont="1" applyFill="1" applyAlignment="1">
      <alignment horizontal="right"/>
    </xf>
    <xf numFmtId="0" fontId="24" fillId="6" borderId="0" xfId="0" applyFont="1" applyFill="1"/>
    <xf numFmtId="37" fontId="24" fillId="6" borderId="0" xfId="0" applyNumberFormat="1" applyFont="1" applyFill="1" applyAlignment="1">
      <alignment horizontal="center"/>
    </xf>
    <xf numFmtId="39" fontId="13" fillId="6" borderId="0" xfId="0" applyNumberFormat="1" applyFont="1" applyFill="1"/>
    <xf numFmtId="37" fontId="13" fillId="6" borderId="0" xfId="0" applyNumberFormat="1" applyFont="1" applyFill="1"/>
    <xf numFmtId="165" fontId="13" fillId="6" borderId="0" xfId="0" applyNumberFormat="1" applyFont="1" applyFill="1"/>
    <xf numFmtId="7" fontId="16" fillId="6" borderId="0" xfId="0" applyNumberFormat="1" applyFont="1" applyFill="1"/>
    <xf numFmtId="167" fontId="23" fillId="6" borderId="0" xfId="0" applyNumberFormat="1" applyFont="1" applyFill="1" applyAlignment="1">
      <alignment horizontal="center"/>
    </xf>
    <xf numFmtId="0" fontId="0" fillId="0" borderId="1" xfId="0" applyBorder="1"/>
    <xf numFmtId="166" fontId="30" fillId="0" borderId="0" xfId="0" applyNumberFormat="1" applyFont="1" applyAlignment="1">
      <alignment horizontal="center"/>
    </xf>
    <xf numFmtId="0" fontId="38" fillId="6" borderId="0" xfId="0" applyFont="1" applyFill="1" applyAlignment="1">
      <alignment horizontal="center" vertical="center"/>
    </xf>
    <xf numFmtId="0" fontId="29" fillId="3" borderId="1" xfId="0" applyFont="1" applyFill="1" applyBorder="1" applyAlignment="1">
      <alignment horizontal="center" vertical="center" wrapText="1"/>
    </xf>
    <xf numFmtId="164" fontId="0" fillId="0" borderId="0" xfId="1" applyNumberFormat="1" applyFont="1" applyAlignment="1">
      <alignment horizontal="center"/>
    </xf>
    <xf numFmtId="0" fontId="0" fillId="0" borderId="0" xfId="0" applyAlignment="1">
      <alignment horizontal="center" vertical="center"/>
    </xf>
    <xf numFmtId="0" fontId="9" fillId="3" borderId="1" xfId="0" applyFont="1" applyFill="1" applyBorder="1" applyAlignment="1">
      <alignment horizontal="center" vertical="center" wrapText="1"/>
    </xf>
    <xf numFmtId="0" fontId="12" fillId="0" borderId="0" xfId="0" applyFont="1" applyAlignment="1">
      <alignment horizontal="center"/>
    </xf>
    <xf numFmtId="0" fontId="12" fillId="0" borderId="0" xfId="0" applyFont="1" applyAlignment="1">
      <alignment horizontal="center" vertical="center"/>
    </xf>
    <xf numFmtId="0" fontId="9" fillId="20"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19"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12" fillId="0" borderId="1" xfId="0" applyFont="1" applyBorder="1"/>
    <xf numFmtId="49" fontId="1" fillId="0" borderId="1" xfId="0" applyNumberFormat="1" applyFont="1" applyBorder="1" applyAlignment="1">
      <alignment horizontal="center"/>
    </xf>
    <xf numFmtId="49" fontId="1" fillId="6" borderId="1" xfId="0" applyNumberFormat="1" applyFont="1" applyFill="1" applyBorder="1" applyAlignment="1">
      <alignment horizontal="center"/>
    </xf>
    <xf numFmtId="0" fontId="12" fillId="0" borderId="1" xfId="0" applyFont="1" applyBorder="1" applyAlignment="1">
      <alignment vertical="center" wrapText="1"/>
    </xf>
    <xf numFmtId="0" fontId="30" fillId="0" borderId="0" xfId="0" applyFont="1" applyAlignment="1">
      <alignment horizontal="center" vertical="top"/>
    </xf>
    <xf numFmtId="166" fontId="30" fillId="0" borderId="0" xfId="0" applyNumberFormat="1" applyFont="1" applyAlignment="1">
      <alignment horizontal="center" vertical="top"/>
    </xf>
    <xf numFmtId="166" fontId="12" fillId="0" borderId="0" xfId="0" applyNumberFormat="1" applyFont="1" applyAlignment="1">
      <alignment horizontal="center" vertical="top"/>
    </xf>
    <xf numFmtId="166" fontId="0" fillId="0" borderId="0" xfId="0" applyNumberFormat="1" applyAlignment="1">
      <alignment horizontal="center"/>
    </xf>
    <xf numFmtId="167" fontId="12" fillId="6" borderId="7" xfId="0"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167" fontId="12" fillId="6" borderId="8" xfId="0" applyNumberFormat="1" applyFont="1" applyFill="1" applyBorder="1" applyAlignment="1">
      <alignment horizontal="center" vertical="center" wrapText="1"/>
    </xf>
    <xf numFmtId="167" fontId="12" fillId="0" borderId="7" xfId="0" applyNumberFormat="1" applyFont="1" applyBorder="1" applyAlignment="1">
      <alignment horizontal="center" vertical="center" wrapText="1"/>
    </xf>
    <xf numFmtId="167" fontId="12" fillId="0" borderId="8" xfId="0" applyNumberFormat="1" applyFont="1" applyBorder="1" applyAlignment="1">
      <alignment horizontal="center" vertical="center" wrapText="1"/>
    </xf>
    <xf numFmtId="166" fontId="12" fillId="6" borderId="1" xfId="0" applyNumberFormat="1" applyFont="1" applyFill="1" applyBorder="1" applyAlignment="1">
      <alignment horizontal="center" vertical="center"/>
    </xf>
    <xf numFmtId="168" fontId="12" fillId="6" borderId="1" xfId="0" applyNumberFormat="1" applyFont="1" applyFill="1" applyBorder="1" applyAlignment="1">
      <alignment horizontal="center" vertical="center"/>
    </xf>
    <xf numFmtId="167" fontId="12" fillId="0" borderId="1" xfId="0" applyNumberFormat="1" applyFont="1" applyBorder="1" applyAlignment="1">
      <alignment horizontal="center"/>
    </xf>
    <xf numFmtId="167" fontId="12" fillId="6" borderId="1" xfId="0" applyNumberFormat="1" applyFont="1" applyFill="1" applyBorder="1" applyAlignment="1">
      <alignment horizontal="center" vertical="center"/>
    </xf>
    <xf numFmtId="9" fontId="12" fillId="6" borderId="4" xfId="1" applyFont="1" applyFill="1" applyBorder="1" applyAlignment="1">
      <alignment horizontal="center" vertical="center"/>
    </xf>
    <xf numFmtId="167" fontId="12" fillId="0" borderId="1" xfId="0" applyNumberFormat="1" applyFont="1" applyBorder="1" applyAlignment="1">
      <alignment horizontal="center" vertical="center"/>
    </xf>
    <xf numFmtId="9" fontId="12" fillId="6" borderId="1" xfId="1" applyFont="1" applyFill="1" applyBorder="1" applyAlignment="1">
      <alignment horizontal="center" vertical="center"/>
    </xf>
    <xf numFmtId="9" fontId="12" fillId="0" borderId="1" xfId="1" applyFont="1" applyFill="1" applyBorder="1" applyAlignment="1">
      <alignment horizontal="center" vertical="center"/>
    </xf>
    <xf numFmtId="164" fontId="1" fillId="0" borderId="7" xfId="1" applyNumberFormat="1" applyFont="1" applyBorder="1" applyAlignment="1">
      <alignment horizontal="center"/>
    </xf>
    <xf numFmtId="3" fontId="1" fillId="0" borderId="7" xfId="1" applyNumberFormat="1" applyFont="1" applyBorder="1" applyAlignment="1">
      <alignment horizontal="center"/>
    </xf>
    <xf numFmtId="164" fontId="1" fillId="0" borderId="1" xfId="1" quotePrefix="1" applyNumberFormat="1" applyFont="1" applyBorder="1" applyAlignment="1">
      <alignment horizontal="center"/>
    </xf>
    <xf numFmtId="164" fontId="1" fillId="0" borderId="1" xfId="1" applyNumberFormat="1" applyFont="1" applyBorder="1" applyAlignment="1">
      <alignment horizontal="center"/>
    </xf>
    <xf numFmtId="0" fontId="0" fillId="6" borderId="0" xfId="0" applyFill="1" applyAlignment="1">
      <alignment horizontal="center" vertical="center"/>
    </xf>
    <xf numFmtId="0" fontId="23" fillId="6" borderId="0" xfId="0" applyFont="1" applyFill="1" applyAlignment="1">
      <alignment horizontal="left" wrapText="1"/>
    </xf>
    <xf numFmtId="0" fontId="23" fillId="6" borderId="0" xfId="0" applyFont="1" applyFill="1" applyAlignment="1">
      <alignment horizontal="left"/>
    </xf>
    <xf numFmtId="0" fontId="0" fillId="6" borderId="0" xfId="0" applyFill="1" applyAlignment="1">
      <alignment horizontal="center"/>
    </xf>
    <xf numFmtId="0" fontId="0" fillId="0" borderId="0" xfId="0" quotePrefix="1" applyAlignment="1">
      <alignment horizontal="center"/>
    </xf>
    <xf numFmtId="0" fontId="0" fillId="0" borderId="0" xfId="0" quotePrefix="1" applyAlignment="1">
      <alignment horizontal="center" vertical="center"/>
    </xf>
    <xf numFmtId="49" fontId="6" fillId="14" borderId="7" xfId="0" applyNumberFormat="1" applyFont="1" applyFill="1" applyBorder="1" applyAlignment="1">
      <alignment horizontal="center" wrapText="1"/>
    </xf>
    <xf numFmtId="0" fontId="6" fillId="14" borderId="7" xfId="0" applyFont="1" applyFill="1" applyBorder="1" applyAlignment="1">
      <alignment horizontal="center" wrapText="1"/>
    </xf>
    <xf numFmtId="0" fontId="12" fillId="0" borderId="0" xfId="60" applyFont="1"/>
    <xf numFmtId="0" fontId="52" fillId="6" borderId="0" xfId="0" applyFont="1" applyFill="1"/>
    <xf numFmtId="172" fontId="53" fillId="0" borderId="0" xfId="61" applyNumberFormat="1" applyBorder="1">
      <alignment horizontal="center"/>
    </xf>
    <xf numFmtId="172" fontId="21" fillId="0" borderId="0" xfId="61" applyNumberFormat="1" applyFont="1" applyBorder="1">
      <alignment horizontal="center"/>
    </xf>
    <xf numFmtId="0" fontId="6" fillId="2" borderId="1" xfId="0" applyFont="1" applyFill="1" applyBorder="1" applyAlignment="1">
      <alignment horizontal="center" vertical="center" wrapText="1"/>
    </xf>
    <xf numFmtId="171" fontId="12" fillId="6" borderId="7" xfId="0" applyNumberFormat="1" applyFont="1" applyFill="1" applyBorder="1" applyAlignment="1">
      <alignment horizontal="center" vertical="center" wrapText="1"/>
    </xf>
    <xf numFmtId="8" fontId="12" fillId="6" borderId="7" xfId="0" applyNumberFormat="1" applyFont="1" applyFill="1" applyBorder="1" applyAlignment="1">
      <alignment horizontal="center" vertical="center" wrapText="1"/>
    </xf>
    <xf numFmtId="173" fontId="12" fillId="6" borderId="1" xfId="0" applyNumberFormat="1" applyFont="1" applyFill="1" applyBorder="1" applyAlignment="1">
      <alignment horizontal="center" vertical="center"/>
    </xf>
    <xf numFmtId="164" fontId="12" fillId="0" borderId="1" xfId="1" applyNumberFormat="1" applyFont="1" applyBorder="1" applyAlignment="1">
      <alignment horizontal="center"/>
    </xf>
    <xf numFmtId="0" fontId="34" fillId="0" borderId="1" xfId="0" applyFont="1" applyBorder="1" applyAlignment="1">
      <alignment vertical="center" wrapText="1"/>
    </xf>
    <xf numFmtId="0" fontId="23" fillId="15" borderId="0" xfId="60" applyFont="1" applyFill="1"/>
    <xf numFmtId="0" fontId="23" fillId="16" borderId="0" xfId="60" applyFont="1" applyFill="1"/>
    <xf numFmtId="0" fontId="12" fillId="16" borderId="0" xfId="60" applyFont="1" applyFill="1"/>
    <xf numFmtId="0" fontId="12" fillId="0" borderId="1" xfId="60" applyFont="1" applyBorder="1" applyAlignment="1">
      <alignment wrapText="1"/>
    </xf>
    <xf numFmtId="0" fontId="12" fillId="0" borderId="1" xfId="60" applyFont="1" applyBorder="1" applyAlignment="1">
      <alignment horizontal="center" wrapText="1"/>
    </xf>
    <xf numFmtId="0" fontId="7" fillId="15" borderId="1" xfId="0" applyFont="1" applyFill="1" applyBorder="1" applyAlignment="1">
      <alignment horizontal="right"/>
    </xf>
    <xf numFmtId="49" fontId="7" fillId="15" borderId="1" xfId="0" applyNumberFormat="1" applyFont="1" applyFill="1" applyBorder="1" applyAlignment="1">
      <alignment horizontal="left"/>
    </xf>
    <xf numFmtId="49" fontId="7" fillId="15" borderId="1" xfId="0" applyNumberFormat="1" applyFont="1" applyFill="1" applyBorder="1" applyAlignment="1">
      <alignment horizontal="right"/>
    </xf>
    <xf numFmtId="166" fontId="6" fillId="14" borderId="7" xfId="0" applyNumberFormat="1" applyFont="1" applyFill="1" applyBorder="1" applyAlignment="1">
      <alignment horizontal="center" wrapText="1"/>
    </xf>
    <xf numFmtId="168" fontId="6" fillId="14" borderId="7" xfId="0" applyNumberFormat="1" applyFont="1" applyFill="1" applyBorder="1" applyAlignment="1">
      <alignment horizontal="center" wrapText="1"/>
    </xf>
    <xf numFmtId="0" fontId="23" fillId="0" borderId="0" xfId="0" applyFont="1" applyAlignment="1">
      <alignment horizontal="left"/>
    </xf>
    <xf numFmtId="164" fontId="0" fillId="0" borderId="0" xfId="1" applyNumberFormat="1" applyFont="1" applyFill="1" applyAlignment="1">
      <alignment horizontal="center"/>
    </xf>
    <xf numFmtId="0" fontId="59" fillId="0" borderId="0" xfId="0" applyFont="1"/>
    <xf numFmtId="164" fontId="12" fillId="0" borderId="0" xfId="1" applyNumberFormat="1" applyFont="1" applyFill="1" applyAlignment="1">
      <alignment horizontal="center"/>
    </xf>
    <xf numFmtId="0" fontId="23" fillId="0" borderId="0" xfId="0" applyFont="1" applyAlignment="1">
      <alignment horizontal="center"/>
    </xf>
    <xf numFmtId="0" fontId="0" fillId="13" borderId="0" xfId="0" applyFill="1"/>
    <xf numFmtId="0" fontId="6" fillId="0" borderId="0" xfId="0" applyFont="1"/>
    <xf numFmtId="3" fontId="0" fillId="0" borderId="0" xfId="0" applyNumberFormat="1" applyAlignment="1">
      <alignment horizontal="center"/>
    </xf>
    <xf numFmtId="164" fontId="0" fillId="0" borderId="0" xfId="1" applyNumberFormat="1" applyFont="1"/>
    <xf numFmtId="164" fontId="59" fillId="0" borderId="0" xfId="1" applyNumberFormat="1" applyFont="1"/>
    <xf numFmtId="2" fontId="0" fillId="0" borderId="0" xfId="0" applyNumberFormat="1" applyAlignment="1">
      <alignment horizontal="center"/>
    </xf>
    <xf numFmtId="0" fontId="6" fillId="0" borderId="0" xfId="0" applyFont="1" applyAlignment="1">
      <alignment horizontal="center"/>
    </xf>
    <xf numFmtId="0" fontId="6" fillId="0" borderId="0" xfId="0" applyFont="1" applyAlignment="1">
      <alignment wrapText="1"/>
    </xf>
    <xf numFmtId="0" fontId="6" fillId="0" borderId="0" xfId="0" applyFont="1" applyAlignment="1">
      <alignment vertical="center"/>
    </xf>
    <xf numFmtId="2" fontId="0" fillId="0" borderId="0" xfId="0" applyNumberFormat="1" applyAlignment="1">
      <alignment horizontal="center" vertical="center"/>
    </xf>
    <xf numFmtId="44" fontId="0" fillId="0" borderId="0" xfId="4" applyFont="1"/>
    <xf numFmtId="44" fontId="0" fillId="0" borderId="0" xfId="0" applyNumberFormat="1"/>
    <xf numFmtId="2" fontId="0" fillId="6" borderId="0" xfId="0" applyNumberFormat="1" applyFill="1" applyAlignment="1">
      <alignment horizontal="center" vertical="center"/>
    </xf>
    <xf numFmtId="2" fontId="0" fillId="0" borderId="0" xfId="0" quotePrefix="1" applyNumberFormat="1" applyAlignment="1">
      <alignment horizontal="center"/>
    </xf>
    <xf numFmtId="2" fontId="12" fillId="0" borderId="0" xfId="0" applyNumberFormat="1" applyFont="1" applyAlignment="1">
      <alignment horizontal="center" vertical="center"/>
    </xf>
    <xf numFmtId="2" fontId="0" fillId="0" borderId="0" xfId="0" quotePrefix="1" applyNumberFormat="1" applyAlignment="1">
      <alignment horizontal="center" vertical="center"/>
    </xf>
    <xf numFmtId="0" fontId="12" fillId="5" borderId="1" xfId="0" applyFont="1" applyFill="1" applyBorder="1" applyAlignment="1">
      <alignment horizontal="center" vertical="center" wrapText="1"/>
    </xf>
    <xf numFmtId="3" fontId="12" fillId="0" borderId="0" xfId="0" applyNumberFormat="1" applyFont="1" applyAlignment="1">
      <alignment horizontal="center"/>
    </xf>
    <xf numFmtId="0" fontId="16" fillId="0" borderId="0" xfId="0" applyFont="1" applyAlignment="1">
      <alignment horizontal="left"/>
    </xf>
    <xf numFmtId="0" fontId="6" fillId="20" borderId="1" xfId="0" applyFont="1" applyFill="1" applyBorder="1" applyAlignment="1">
      <alignment horizontal="center" vertical="center" wrapText="1"/>
    </xf>
    <xf numFmtId="0" fontId="23" fillId="6" borderId="0" xfId="0" applyFont="1" applyFill="1"/>
    <xf numFmtId="0" fontId="1" fillId="0" borderId="1" xfId="1" quotePrefix="1" applyNumberFormat="1" applyFont="1" applyBorder="1" applyAlignment="1">
      <alignment horizontal="center"/>
    </xf>
    <xf numFmtId="49" fontId="9" fillId="4" borderId="1" xfId="0" applyNumberFormat="1" applyFont="1" applyFill="1" applyBorder="1" applyAlignment="1">
      <alignment horizontal="center" vertical="center" wrapText="1"/>
    </xf>
    <xf numFmtId="49" fontId="1" fillId="0" borderId="1" xfId="1" quotePrefix="1" applyNumberFormat="1" applyFont="1" applyBorder="1" applyAlignment="1">
      <alignment horizontal="center"/>
    </xf>
    <xf numFmtId="0" fontId="1" fillId="0" borderId="1" xfId="1" quotePrefix="1" applyNumberFormat="1" applyFont="1" applyFill="1" applyBorder="1" applyAlignment="1">
      <alignment horizontal="left"/>
    </xf>
    <xf numFmtId="0" fontId="23" fillId="6" borderId="0" xfId="0" applyFont="1" applyFill="1" applyAlignment="1">
      <alignment vertical="center"/>
    </xf>
    <xf numFmtId="0" fontId="6" fillId="5" borderId="1" xfId="0" applyFont="1" applyFill="1" applyBorder="1" applyAlignment="1">
      <alignment horizontal="center" vertical="center" wrapText="1"/>
    </xf>
    <xf numFmtId="0" fontId="56" fillId="0" borderId="1" xfId="60" applyFont="1" applyBorder="1" applyAlignment="1">
      <alignment horizontal="center"/>
    </xf>
    <xf numFmtId="0" fontId="9" fillId="20" borderId="2" xfId="0" applyFont="1" applyFill="1" applyBorder="1" applyAlignment="1">
      <alignment horizontal="center" vertical="center" wrapText="1"/>
    </xf>
    <xf numFmtId="2" fontId="0" fillId="0" borderId="0" xfId="0" applyNumberFormat="1"/>
    <xf numFmtId="0" fontId="6" fillId="5" borderId="7" xfId="0" applyFont="1" applyFill="1" applyBorder="1" applyAlignment="1">
      <alignment horizontal="center" vertical="center" wrapText="1"/>
    </xf>
    <xf numFmtId="166" fontId="6" fillId="5" borderId="7" xfId="0" applyNumberFormat="1" applyFont="1" applyFill="1" applyBorder="1" applyAlignment="1">
      <alignment horizontal="center" vertical="center" wrapText="1"/>
    </xf>
    <xf numFmtId="171" fontId="6" fillId="5" borderId="7" xfId="0" applyNumberFormat="1" applyFont="1" applyFill="1" applyBorder="1" applyAlignment="1">
      <alignment horizontal="center" vertical="center" wrapText="1"/>
    </xf>
    <xf numFmtId="2" fontId="6" fillId="5" borderId="7" xfId="0" applyNumberFormat="1" applyFont="1" applyFill="1" applyBorder="1" applyAlignment="1">
      <alignment horizontal="center" vertical="center" wrapText="1"/>
    </xf>
    <xf numFmtId="171" fontId="9" fillId="5" borderId="7" xfId="0" applyNumberFormat="1" applyFont="1" applyFill="1" applyBorder="1" applyAlignment="1">
      <alignment horizontal="center" vertical="center" wrapText="1"/>
    </xf>
    <xf numFmtId="170" fontId="6" fillId="5" borderId="7" xfId="0" applyNumberFormat="1" applyFont="1" applyFill="1" applyBorder="1" applyAlignment="1">
      <alignment horizontal="center" vertical="center" wrapText="1"/>
    </xf>
    <xf numFmtId="171" fontId="0" fillId="0" borderId="0" xfId="0" applyNumberFormat="1" applyAlignment="1">
      <alignment horizontal="center"/>
    </xf>
    <xf numFmtId="49" fontId="35" fillId="15" borderId="1" xfId="0" applyNumberFormat="1" applyFont="1" applyFill="1" applyBorder="1" applyAlignment="1">
      <alignment horizontal="left"/>
    </xf>
    <xf numFmtId="49" fontId="6" fillId="5" borderId="7" xfId="0" applyNumberFormat="1" applyFont="1" applyFill="1" applyBorder="1" applyAlignment="1">
      <alignment horizontal="center" vertical="center" wrapText="1"/>
    </xf>
    <xf numFmtId="37" fontId="13" fillId="0" borderId="1" xfId="0" applyNumberFormat="1" applyFont="1" applyBorder="1" applyAlignment="1">
      <alignment horizontal="center" vertical="center"/>
    </xf>
    <xf numFmtId="0" fontId="12" fillId="0" borderId="1" xfId="0" applyFont="1" applyBorder="1" applyAlignment="1">
      <alignment vertical="center"/>
    </xf>
    <xf numFmtId="164" fontId="13" fillId="0" borderId="7" xfId="1" applyNumberFormat="1" applyFont="1" applyBorder="1" applyAlignment="1">
      <alignment horizontal="center" vertical="center"/>
    </xf>
    <xf numFmtId="0" fontId="13" fillId="0" borderId="1" xfId="1" quotePrefix="1" applyNumberFormat="1" applyFont="1" applyBorder="1" applyAlignment="1">
      <alignment horizontal="left" vertical="center" wrapText="1"/>
    </xf>
    <xf numFmtId="164" fontId="13" fillId="0" borderId="1" xfId="1" applyNumberFormat="1" applyFont="1" applyBorder="1" applyAlignment="1">
      <alignment horizontal="center" vertical="center"/>
    </xf>
    <xf numFmtId="1" fontId="12" fillId="0" borderId="1" xfId="1" applyNumberFormat="1" applyFont="1" applyBorder="1" applyAlignment="1">
      <alignment horizontal="center"/>
    </xf>
    <xf numFmtId="0" fontId="13" fillId="0" borderId="1" xfId="0" applyFont="1" applyBorder="1" applyAlignment="1">
      <alignment horizontal="center" vertical="center"/>
    </xf>
    <xf numFmtId="44" fontId="12" fillId="0" borderId="0" xfId="4" applyFont="1" applyFill="1" applyAlignment="1">
      <alignment vertical="center"/>
    </xf>
    <xf numFmtId="44" fontId="12" fillId="0" borderId="0" xfId="4" applyFont="1" applyFill="1"/>
    <xf numFmtId="44" fontId="12" fillId="0" borderId="0" xfId="0" applyNumberFormat="1" applyFont="1" applyAlignment="1">
      <alignment vertical="center"/>
    </xf>
    <xf numFmtId="44" fontId="12" fillId="0" borderId="0" xfId="0" applyNumberFormat="1" applyFont="1"/>
    <xf numFmtId="164" fontId="12" fillId="0" borderId="0" xfId="1" applyNumberFormat="1" applyFont="1" applyFill="1" applyAlignment="1">
      <alignment horizontal="center" vertical="center"/>
    </xf>
    <xf numFmtId="49" fontId="12" fillId="0" borderId="0" xfId="0" applyNumberFormat="1" applyFont="1" applyAlignment="1">
      <alignment vertical="center" wrapText="1"/>
    </xf>
    <xf numFmtId="164" fontId="12" fillId="0" borderId="0" xfId="0" applyNumberFormat="1" applyFont="1" applyAlignment="1">
      <alignment horizontal="center" vertical="center"/>
    </xf>
    <xf numFmtId="37" fontId="13" fillId="0" borderId="1" xfId="0" applyNumberFormat="1" applyFont="1" applyBorder="1" applyAlignment="1">
      <alignment horizontal="center"/>
    </xf>
    <xf numFmtId="164" fontId="12" fillId="0" borderId="0" xfId="1" applyNumberFormat="1" applyFont="1"/>
    <xf numFmtId="37" fontId="13" fillId="6" borderId="1" xfId="0" applyNumberFormat="1" applyFont="1" applyFill="1" applyBorder="1" applyAlignment="1">
      <alignment horizontal="center"/>
    </xf>
    <xf numFmtId="0" fontId="0" fillId="0" borderId="7" xfId="0" applyBorder="1"/>
    <xf numFmtId="37" fontId="13" fillId="0" borderId="7" xfId="0" applyNumberFormat="1" applyFont="1" applyBorder="1" applyAlignment="1">
      <alignment horizontal="center"/>
    </xf>
    <xf numFmtId="164" fontId="1" fillId="0" borderId="7" xfId="1" quotePrefix="1" applyNumberFormat="1" applyFont="1" applyBorder="1" applyAlignment="1">
      <alignment horizontal="center"/>
    </xf>
    <xf numFmtId="49" fontId="1" fillId="0" borderId="7" xfId="1" quotePrefix="1" applyNumberFormat="1" applyFont="1" applyBorder="1" applyAlignment="1">
      <alignment horizontal="center"/>
    </xf>
    <xf numFmtId="164" fontId="12" fillId="0" borderId="1" xfId="1" applyNumberFormat="1" applyFont="1" applyFill="1" applyBorder="1" applyAlignment="1">
      <alignment horizontal="center"/>
    </xf>
    <xf numFmtId="1" fontId="12" fillId="0" borderId="1" xfId="1" applyNumberFormat="1" applyFont="1" applyFill="1" applyBorder="1" applyAlignment="1">
      <alignment horizontal="center"/>
    </xf>
    <xf numFmtId="0" fontId="12" fillId="0" borderId="7" xfId="0" applyFont="1" applyBorder="1" applyAlignment="1">
      <alignment horizontal="center" vertical="center" wrapText="1"/>
    </xf>
    <xf numFmtId="8" fontId="12" fillId="0" borderId="7" xfId="0" applyNumberFormat="1" applyFont="1" applyBorder="1" applyAlignment="1">
      <alignment horizontal="center" vertical="center" wrapText="1"/>
    </xf>
    <xf numFmtId="168" fontId="12" fillId="0" borderId="1" xfId="0" applyNumberFormat="1" applyFont="1" applyBorder="1" applyAlignment="1">
      <alignment horizontal="center" vertical="center"/>
    </xf>
    <xf numFmtId="166" fontId="12" fillId="0" borderId="1" xfId="0" applyNumberFormat="1" applyFont="1" applyBorder="1" applyAlignment="1">
      <alignment horizontal="center" vertical="center"/>
    </xf>
    <xf numFmtId="49" fontId="12" fillId="0" borderId="0" xfId="0" applyNumberFormat="1" applyFont="1" applyAlignment="1">
      <alignment horizontal="center"/>
    </xf>
    <xf numFmtId="3" fontId="59" fillId="0" borderId="0" xfId="0" applyNumberFormat="1" applyFont="1"/>
    <xf numFmtId="0" fontId="23" fillId="0" borderId="0" xfId="0" applyFont="1" applyAlignment="1">
      <alignment vertical="center"/>
    </xf>
    <xf numFmtId="2" fontId="12" fillId="0" borderId="0" xfId="0" quotePrefix="1" applyNumberFormat="1" applyFont="1" applyAlignment="1">
      <alignment horizontal="center" vertical="center"/>
    </xf>
    <xf numFmtId="0" fontId="12" fillId="0" borderId="0" xfId="0" quotePrefix="1" applyFont="1" applyAlignment="1">
      <alignment horizontal="center" vertical="center"/>
    </xf>
    <xf numFmtId="44" fontId="12" fillId="0" borderId="0" xfId="4" applyFont="1" applyAlignment="1">
      <alignment vertical="center"/>
    </xf>
    <xf numFmtId="164" fontId="12" fillId="0" borderId="0" xfId="1" applyNumberFormat="1" applyFont="1" applyAlignment="1">
      <alignment horizontal="center" vertical="center"/>
    </xf>
    <xf numFmtId="0" fontId="0" fillId="7" borderId="0" xfId="0" applyFill="1"/>
    <xf numFmtId="0" fontId="9" fillId="2" borderId="1" xfId="0" applyFont="1" applyFill="1" applyBorder="1" applyAlignment="1">
      <alignment horizontal="left" vertical="center"/>
    </xf>
    <xf numFmtId="0" fontId="9" fillId="2" borderId="1" xfId="0" applyFont="1" applyFill="1" applyBorder="1" applyAlignment="1">
      <alignment vertical="center"/>
    </xf>
    <xf numFmtId="164" fontId="59" fillId="0" borderId="0" xfId="1" applyNumberFormat="1" applyFont="1" applyFill="1"/>
    <xf numFmtId="167" fontId="30" fillId="4" borderId="1" xfId="0" applyNumberFormat="1" applyFont="1" applyFill="1" applyBorder="1" applyAlignment="1">
      <alignment horizontal="center" vertical="center"/>
    </xf>
    <xf numFmtId="0" fontId="25" fillId="6" borderId="24" xfId="0" applyFont="1" applyFill="1" applyBorder="1" applyAlignment="1">
      <alignment horizontal="left" vertical="center" wrapText="1"/>
    </xf>
    <xf numFmtId="10" fontId="60" fillId="6" borderId="24" xfId="3" applyNumberFormat="1" applyFont="1" applyFill="1" applyBorder="1" applyAlignment="1">
      <alignment horizontal="left" vertical="center" wrapText="1"/>
    </xf>
    <xf numFmtId="0" fontId="25" fillId="6" borderId="24" xfId="0" applyFont="1" applyFill="1" applyBorder="1" applyAlignment="1">
      <alignment vertical="center" wrapText="1"/>
    </xf>
    <xf numFmtId="0" fontId="62" fillId="6" borderId="24" xfId="0" applyFont="1" applyFill="1" applyBorder="1" applyAlignment="1">
      <alignment horizontal="left" vertical="center" wrapText="1"/>
    </xf>
    <xf numFmtId="37" fontId="62" fillId="6" borderId="28" xfId="0" applyNumberFormat="1" applyFont="1" applyFill="1" applyBorder="1" applyAlignment="1">
      <alignment horizontal="left" vertical="center" wrapText="1"/>
    </xf>
    <xf numFmtId="0" fontId="25" fillId="0" borderId="24" xfId="0" applyFont="1" applyBorder="1" applyAlignment="1">
      <alignment wrapText="1"/>
    </xf>
    <xf numFmtId="49" fontId="13" fillId="6" borderId="1" xfId="0" applyNumberFormat="1" applyFont="1" applyFill="1" applyBorder="1" applyAlignment="1">
      <alignment horizontal="center"/>
    </xf>
    <xf numFmtId="0" fontId="12" fillId="6" borderId="1" xfId="0" applyFont="1" applyFill="1" applyBorder="1"/>
    <xf numFmtId="164" fontId="13" fillId="6" borderId="1" xfId="1" quotePrefix="1" applyNumberFormat="1" applyFont="1" applyFill="1" applyBorder="1" applyAlignment="1">
      <alignment horizontal="center"/>
    </xf>
    <xf numFmtId="0" fontId="13" fillId="6" borderId="1" xfId="1" quotePrefix="1" applyNumberFormat="1" applyFont="1" applyFill="1" applyBorder="1" applyAlignment="1">
      <alignment horizontal="left"/>
    </xf>
    <xf numFmtId="164" fontId="13" fillId="6" borderId="1" xfId="1" applyNumberFormat="1" applyFont="1" applyFill="1" applyBorder="1" applyAlignment="1">
      <alignment horizontal="center"/>
    </xf>
    <xf numFmtId="0" fontId="0" fillId="6" borderId="1" xfId="0" applyFill="1" applyBorder="1"/>
    <xf numFmtId="164" fontId="1" fillId="6" borderId="1" xfId="1" quotePrefix="1" applyNumberFormat="1" applyFont="1" applyFill="1" applyBorder="1" applyAlignment="1">
      <alignment horizontal="center"/>
    </xf>
    <xf numFmtId="0" fontId="1" fillId="6" borderId="1" xfId="1" quotePrefix="1" applyNumberFormat="1" applyFont="1" applyFill="1" applyBorder="1" applyAlignment="1">
      <alignment horizontal="center"/>
    </xf>
    <xf numFmtId="164" fontId="1" fillId="6" borderId="1" xfId="1" applyNumberFormat="1" applyFont="1" applyFill="1" applyBorder="1" applyAlignment="1">
      <alignment horizontal="center"/>
    </xf>
    <xf numFmtId="3" fontId="66" fillId="3" borderId="11" xfId="3" applyNumberFormat="1" applyFont="1" applyFill="1" applyBorder="1" applyAlignment="1">
      <alignment horizontal="center" vertical="center" wrapText="1"/>
    </xf>
    <xf numFmtId="0" fontId="12" fillId="6" borderId="0" xfId="0" applyFont="1" applyFill="1" applyAlignment="1">
      <alignment vertical="center" wrapText="1"/>
    </xf>
    <xf numFmtId="0" fontId="6" fillId="6" borderId="0" xfId="0" applyFont="1" applyFill="1"/>
    <xf numFmtId="0" fontId="0" fillId="6" borderId="0" xfId="0" applyFill="1" applyAlignment="1">
      <alignment horizontal="center" vertical="top"/>
    </xf>
    <xf numFmtId="0" fontId="9" fillId="6" borderId="0" xfId="0" applyFont="1" applyFill="1"/>
    <xf numFmtId="0" fontId="8" fillId="6" borderId="0" xfId="3" applyFill="1"/>
    <xf numFmtId="0" fontId="67" fillId="6" borderId="0" xfId="0" applyFont="1" applyFill="1"/>
    <xf numFmtId="0" fontId="67" fillId="6" borderId="0" xfId="0" applyFont="1" applyFill="1" applyAlignment="1">
      <alignment horizontal="center"/>
    </xf>
    <xf numFmtId="14" fontId="0" fillId="6" borderId="0" xfId="0" applyNumberFormat="1" applyFill="1" applyAlignment="1">
      <alignment horizontal="center"/>
    </xf>
    <xf numFmtId="0" fontId="68" fillId="7" borderId="9" xfId="9" applyFont="1" applyFill="1" applyBorder="1"/>
    <xf numFmtId="0" fontId="68" fillId="7" borderId="0" xfId="9" applyFont="1" applyFill="1"/>
    <xf numFmtId="0" fontId="68" fillId="7" borderId="1" xfId="9" applyFont="1" applyFill="1" applyBorder="1" applyAlignment="1">
      <alignment horizontal="center"/>
    </xf>
    <xf numFmtId="0" fontId="0" fillId="7" borderId="8" xfId="0" applyFill="1" applyBorder="1"/>
    <xf numFmtId="0" fontId="68" fillId="7" borderId="0" xfId="9" applyFont="1" applyFill="1" applyAlignment="1">
      <alignment wrapText="1"/>
    </xf>
    <xf numFmtId="0" fontId="69" fillId="7" borderId="5" xfId="9" applyFont="1" applyFill="1" applyBorder="1" applyAlignment="1">
      <alignment wrapText="1"/>
    </xf>
    <xf numFmtId="0" fontId="70" fillId="7" borderId="9" xfId="9" applyFont="1" applyFill="1" applyBorder="1" applyAlignment="1">
      <alignment horizontal="left" vertical="top"/>
    </xf>
    <xf numFmtId="0" fontId="70" fillId="7" borderId="9" xfId="9" applyFont="1" applyFill="1" applyBorder="1" applyAlignment="1">
      <alignment horizontal="center" vertical="top" wrapText="1"/>
    </xf>
    <xf numFmtId="0" fontId="70" fillId="7" borderId="1" xfId="9" applyFont="1" applyFill="1" applyBorder="1" applyAlignment="1">
      <alignment horizontal="center" vertical="top" wrapText="1"/>
    </xf>
    <xf numFmtId="0" fontId="22" fillId="0" borderId="0" xfId="0" applyFont="1"/>
    <xf numFmtId="0" fontId="70" fillId="7" borderId="30" xfId="9" applyFont="1" applyFill="1" applyBorder="1" applyAlignment="1">
      <alignment horizontal="left" wrapText="1"/>
    </xf>
    <xf numFmtId="0" fontId="24" fillId="7" borderId="31" xfId="3" applyFont="1" applyFill="1" applyBorder="1" applyAlignment="1">
      <alignment horizontal="center"/>
    </xf>
    <xf numFmtId="0" fontId="71" fillId="7" borderId="31" xfId="3" applyFont="1" applyFill="1" applyBorder="1" applyAlignment="1">
      <alignment horizontal="center" wrapText="1"/>
    </xf>
    <xf numFmtId="0" fontId="70" fillId="7" borderId="31" xfId="9" applyFont="1" applyFill="1" applyBorder="1" applyAlignment="1">
      <alignment vertical="top"/>
    </xf>
    <xf numFmtId="0" fontId="70" fillId="7" borderId="31" xfId="9" applyFont="1" applyFill="1" applyBorder="1" applyAlignment="1">
      <alignment horizontal="center" vertical="top"/>
    </xf>
    <xf numFmtId="0" fontId="70" fillId="7" borderId="31" xfId="9" applyFont="1" applyFill="1" applyBorder="1" applyAlignment="1">
      <alignment horizontal="center" vertical="top" wrapText="1"/>
    </xf>
    <xf numFmtId="0" fontId="70" fillId="7" borderId="2" xfId="9" applyFont="1" applyFill="1" applyBorder="1" applyAlignment="1">
      <alignment horizontal="center" vertical="top" wrapText="1"/>
    </xf>
    <xf numFmtId="0" fontId="70" fillId="7" borderId="2" xfId="9" applyFont="1" applyFill="1" applyBorder="1" applyAlignment="1">
      <alignment horizontal="center" vertical="top"/>
    </xf>
    <xf numFmtId="0" fontId="70" fillId="7" borderId="6" xfId="9" applyFont="1" applyFill="1" applyBorder="1" applyAlignment="1">
      <alignment horizontal="center" wrapText="1"/>
    </xf>
    <xf numFmtId="0" fontId="8" fillId="7" borderId="6" xfId="3" applyFill="1" applyBorder="1" applyAlignment="1"/>
    <xf numFmtId="0" fontId="71" fillId="7" borderId="6" xfId="3" applyFont="1" applyFill="1" applyBorder="1" applyAlignment="1">
      <alignment horizontal="center" wrapText="1"/>
    </xf>
    <xf numFmtId="0" fontId="70" fillId="7" borderId="6" xfId="9" applyFont="1" applyFill="1" applyBorder="1" applyAlignment="1">
      <alignment vertical="top"/>
    </xf>
    <xf numFmtId="0" fontId="70" fillId="7" borderId="6" xfId="9" applyFont="1" applyFill="1" applyBorder="1" applyAlignment="1">
      <alignment horizontal="center" vertical="top"/>
    </xf>
    <xf numFmtId="0" fontId="70" fillId="7" borderId="7" xfId="9" applyFont="1" applyFill="1" applyBorder="1" applyAlignment="1">
      <alignment horizontal="center" vertical="top"/>
    </xf>
    <xf numFmtId="0" fontId="70" fillId="7" borderId="7" xfId="9" applyFont="1" applyFill="1" applyBorder="1" applyAlignment="1">
      <alignment horizontal="center" vertical="top" wrapText="1"/>
    </xf>
    <xf numFmtId="0" fontId="33" fillId="7" borderId="22" xfId="9" applyFont="1" applyFill="1" applyBorder="1" applyAlignment="1">
      <alignment horizontal="center" wrapText="1"/>
    </xf>
    <xf numFmtId="0" fontId="33" fillId="7" borderId="0" xfId="9" applyFont="1" applyFill="1" applyAlignment="1">
      <alignment horizontal="center" wrapText="1"/>
    </xf>
    <xf numFmtId="0" fontId="33" fillId="7" borderId="11" xfId="9" applyFont="1" applyFill="1" applyBorder="1" applyAlignment="1">
      <alignment horizontal="center" wrapText="1"/>
    </xf>
    <xf numFmtId="0" fontId="33" fillId="7" borderId="8" xfId="9" applyFont="1" applyFill="1" applyBorder="1" applyAlignment="1">
      <alignment horizontal="center" wrapText="1"/>
    </xf>
    <xf numFmtId="0" fontId="33" fillId="7" borderId="6" xfId="9" applyFont="1" applyFill="1" applyBorder="1" applyAlignment="1">
      <alignment horizontal="center" wrapText="1"/>
    </xf>
    <xf numFmtId="0" fontId="33" fillId="7" borderId="7" xfId="9" applyFont="1" applyFill="1" applyBorder="1" applyAlignment="1">
      <alignment horizontal="center" wrapText="1"/>
    </xf>
    <xf numFmtId="49" fontId="0" fillId="0" borderId="1" xfId="0" applyNumberFormat="1" applyBorder="1" applyAlignment="1">
      <alignment horizontal="center"/>
    </xf>
    <xf numFmtId="49" fontId="32" fillId="0" borderId="7" xfId="9" applyNumberFormat="1" applyBorder="1" applyAlignment="1">
      <alignment horizontal="center"/>
    </xf>
    <xf numFmtId="14" fontId="32" fillId="0" borderId="7" xfId="9" applyNumberFormat="1" applyBorder="1" applyAlignment="1">
      <alignment horizontal="center"/>
    </xf>
    <xf numFmtId="37" fontId="32" fillId="0" borderId="7" xfId="9" applyNumberFormat="1" applyBorder="1" applyAlignment="1">
      <alignment horizontal="right"/>
    </xf>
    <xf numFmtId="174" fontId="32" fillId="20" borderId="7" xfId="62" applyNumberFormat="1" applyFont="1" applyFill="1" applyBorder="1" applyAlignment="1">
      <alignment horizontal="center"/>
    </xf>
    <xf numFmtId="37" fontId="32" fillId="20" borderId="1" xfId="11" applyNumberFormat="1" applyFill="1" applyBorder="1" applyAlignment="1">
      <alignment horizontal="right"/>
    </xf>
    <xf numFmtId="37" fontId="32" fillId="20" borderId="1" xfId="9" applyNumberFormat="1" applyFill="1" applyBorder="1" applyAlignment="1">
      <alignment horizontal="right"/>
    </xf>
    <xf numFmtId="37" fontId="32" fillId="0" borderId="7" xfId="9" applyNumberFormat="1" applyBorder="1" applyAlignment="1">
      <alignment horizontal="center"/>
    </xf>
    <xf numFmtId="39" fontId="32" fillId="20" borderId="4" xfId="9" applyNumberFormat="1" applyFill="1" applyBorder="1" applyAlignment="1">
      <alignment horizontal="center"/>
    </xf>
    <xf numFmtId="39" fontId="32" fillId="20" borderId="1" xfId="9" applyNumberFormat="1" applyFill="1" applyBorder="1" applyAlignment="1">
      <alignment horizontal="center"/>
    </xf>
    <xf numFmtId="49" fontId="32" fillId="0" borderId="1" xfId="9" applyNumberFormat="1" applyBorder="1" applyAlignment="1">
      <alignment horizontal="center"/>
    </xf>
    <xf numFmtId="37" fontId="32" fillId="0" borderId="1" xfId="9" applyNumberFormat="1" applyBorder="1" applyAlignment="1">
      <alignment horizontal="right"/>
    </xf>
    <xf numFmtId="37" fontId="32" fillId="0" borderId="1" xfId="9" applyNumberFormat="1" applyBorder="1" applyAlignment="1">
      <alignment horizontal="center"/>
    </xf>
    <xf numFmtId="37" fontId="32" fillId="0" borderId="1" xfId="11" applyNumberFormat="1" applyBorder="1" applyAlignment="1">
      <alignment horizontal="center"/>
    </xf>
    <xf numFmtId="37" fontId="32" fillId="0" borderId="7" xfId="11" applyNumberFormat="1" applyBorder="1" applyAlignment="1">
      <alignment horizontal="center"/>
    </xf>
    <xf numFmtId="49" fontId="72" fillId="0" borderId="0" xfId="0" applyNumberFormat="1" applyFont="1" applyAlignment="1">
      <alignment horizontal="left"/>
    </xf>
    <xf numFmtId="0" fontId="73" fillId="0" borderId="0" xfId="0" applyFont="1" applyAlignment="1">
      <alignment horizontal="center"/>
    </xf>
    <xf numFmtId="0" fontId="73" fillId="0" borderId="0" xfId="0" applyFont="1"/>
    <xf numFmtId="0" fontId="0" fillId="7" borderId="4" xfId="0" applyFill="1" applyBorder="1"/>
    <xf numFmtId="0" fontId="68" fillId="7" borderId="5" xfId="9" applyFont="1" applyFill="1" applyBorder="1"/>
    <xf numFmtId="0" fontId="69" fillId="7" borderId="9" xfId="9" applyFont="1" applyFill="1" applyBorder="1"/>
    <xf numFmtId="0" fontId="0" fillId="7" borderId="9" xfId="0" applyFill="1" applyBorder="1"/>
    <xf numFmtId="0" fontId="69" fillId="7" borderId="5" xfId="9" applyFont="1" applyFill="1" applyBorder="1"/>
    <xf numFmtId="0" fontId="70" fillId="7" borderId="6" xfId="9" applyFont="1" applyFill="1" applyBorder="1" applyAlignment="1">
      <alignment horizontal="center" vertical="top" wrapText="1"/>
    </xf>
    <xf numFmtId="0" fontId="70" fillId="7" borderId="10" xfId="9" applyFont="1" applyFill="1" applyBorder="1" applyAlignment="1">
      <alignment horizontal="center" vertical="top" wrapText="1"/>
    </xf>
    <xf numFmtId="0" fontId="70" fillId="0" borderId="0" xfId="9" applyFont="1" applyAlignment="1">
      <alignment horizontal="center" vertical="top" wrapText="1"/>
    </xf>
    <xf numFmtId="0" fontId="70" fillId="7" borderId="8" xfId="9" applyFont="1" applyFill="1" applyBorder="1" applyAlignment="1">
      <alignment horizontal="center" vertical="top" wrapText="1"/>
    </xf>
    <xf numFmtId="0" fontId="74" fillId="7" borderId="31" xfId="3" applyFont="1" applyFill="1" applyBorder="1" applyAlignment="1">
      <alignment horizontal="center" wrapText="1"/>
    </xf>
    <xf numFmtId="0" fontId="70" fillId="7" borderId="0" xfId="9" applyFont="1" applyFill="1" applyAlignment="1">
      <alignment vertical="center"/>
    </xf>
    <xf numFmtId="0" fontId="70" fillId="7" borderId="31" xfId="9" applyFont="1" applyFill="1" applyBorder="1" applyAlignment="1">
      <alignment vertical="center"/>
    </xf>
    <xf numFmtId="0" fontId="70" fillId="7" borderId="31" xfId="9" applyFont="1" applyFill="1" applyBorder="1" applyAlignment="1">
      <alignment horizontal="center" vertical="center"/>
    </xf>
    <xf numFmtId="0" fontId="70" fillId="7" borderId="3" xfId="9" applyFont="1" applyFill="1" applyBorder="1" applyAlignment="1">
      <alignment horizontal="center" vertical="top"/>
    </xf>
    <xf numFmtId="0" fontId="70" fillId="0" borderId="0" xfId="9" applyFont="1" applyAlignment="1">
      <alignment vertical="top"/>
    </xf>
    <xf numFmtId="0" fontId="70" fillId="7" borderId="30" xfId="9" applyFont="1" applyFill="1" applyBorder="1" applyAlignment="1">
      <alignment horizontal="center" vertical="top"/>
    </xf>
    <xf numFmtId="0" fontId="70" fillId="7" borderId="3" xfId="9" applyFont="1" applyFill="1" applyBorder="1" applyAlignment="1">
      <alignment horizontal="center" vertical="top" wrapText="1"/>
    </xf>
    <xf numFmtId="0" fontId="75" fillId="7" borderId="2" xfId="9" applyFont="1" applyFill="1" applyBorder="1" applyAlignment="1">
      <alignment horizontal="center"/>
    </xf>
    <xf numFmtId="0" fontId="70" fillId="7" borderId="8" xfId="9" applyFont="1" applyFill="1" applyBorder="1" applyAlignment="1">
      <alignment horizontal="center" wrapText="1"/>
    </xf>
    <xf numFmtId="0" fontId="76" fillId="7" borderId="6" xfId="3" applyFont="1" applyFill="1" applyBorder="1" applyAlignment="1"/>
    <xf numFmtId="0" fontId="74" fillId="7" borderId="6" xfId="3" applyFont="1" applyFill="1" applyBorder="1" applyAlignment="1">
      <alignment horizontal="center" wrapText="1"/>
    </xf>
    <xf numFmtId="0" fontId="70" fillId="7" borderId="6" xfId="9" applyFont="1" applyFill="1" applyBorder="1" applyAlignment="1">
      <alignment horizontal="center" vertical="center"/>
    </xf>
    <xf numFmtId="0" fontId="70" fillId="7" borderId="10" xfId="9" applyFont="1" applyFill="1" applyBorder="1" applyAlignment="1">
      <alignment horizontal="center" vertical="top"/>
    </xf>
    <xf numFmtId="0" fontId="70" fillId="7" borderId="8" xfId="9" applyFont="1" applyFill="1" applyBorder="1" applyAlignment="1">
      <alignment horizontal="center" vertical="top"/>
    </xf>
    <xf numFmtId="0" fontId="33" fillId="7" borderId="30" xfId="9" applyFont="1" applyFill="1" applyBorder="1" applyAlignment="1">
      <alignment horizontal="center" wrapText="1"/>
    </xf>
    <xf numFmtId="0" fontId="33" fillId="7" borderId="31" xfId="9" applyFont="1" applyFill="1" applyBorder="1" applyAlignment="1">
      <alignment horizontal="center" wrapText="1"/>
    </xf>
    <xf numFmtId="0" fontId="33" fillId="7" borderId="0" xfId="9" applyFont="1" applyFill="1" applyAlignment="1">
      <alignment horizontal="center" vertical="center"/>
    </xf>
    <xf numFmtId="0" fontId="33" fillId="7" borderId="31" xfId="9" applyFont="1" applyFill="1" applyBorder="1" applyAlignment="1">
      <alignment horizontal="center" vertical="center"/>
    </xf>
    <xf numFmtId="0" fontId="33" fillId="7" borderId="3" xfId="9" applyFont="1" applyFill="1" applyBorder="1" applyAlignment="1">
      <alignment horizontal="center" vertical="center"/>
    </xf>
    <xf numFmtId="0" fontId="33" fillId="7" borderId="30" xfId="9" applyFont="1" applyFill="1" applyBorder="1" applyAlignment="1">
      <alignment horizontal="center" vertical="center"/>
    </xf>
    <xf numFmtId="0" fontId="33" fillId="7" borderId="2" xfId="9" applyFont="1" applyFill="1" applyBorder="1" applyAlignment="1">
      <alignment horizontal="center" wrapText="1"/>
    </xf>
    <xf numFmtId="0" fontId="33" fillId="7" borderId="21" xfId="9" applyFont="1" applyFill="1" applyBorder="1" applyAlignment="1">
      <alignment horizontal="center" vertical="center"/>
    </xf>
    <xf numFmtId="0" fontId="33" fillId="7" borderId="22" xfId="9" applyFont="1" applyFill="1" applyBorder="1" applyAlignment="1">
      <alignment horizontal="center" vertical="center"/>
    </xf>
    <xf numFmtId="0" fontId="33" fillId="7" borderId="6" xfId="9" applyFont="1" applyFill="1" applyBorder="1" applyAlignment="1">
      <alignment horizontal="center" vertical="center"/>
    </xf>
    <xf numFmtId="0" fontId="33" fillId="7" borderId="10" xfId="9" applyFont="1" applyFill="1" applyBorder="1" applyAlignment="1">
      <alignment horizontal="center" vertical="center"/>
    </xf>
    <xf numFmtId="0" fontId="33" fillId="7" borderId="8" xfId="9" applyFont="1" applyFill="1" applyBorder="1" applyAlignment="1">
      <alignment horizontal="center" vertical="center"/>
    </xf>
    <xf numFmtId="0" fontId="32" fillId="0" borderId="1" xfId="9" quotePrefix="1" applyBorder="1" applyAlignment="1">
      <alignment horizontal="center"/>
    </xf>
    <xf numFmtId="39" fontId="32" fillId="0" borderId="7" xfId="9" applyNumberFormat="1" applyBorder="1" applyAlignment="1">
      <alignment horizontal="center"/>
    </xf>
    <xf numFmtId="174" fontId="32" fillId="20" borderId="7" xfId="9" applyNumberFormat="1" applyFill="1" applyBorder="1" applyAlignment="1">
      <alignment horizontal="center"/>
    </xf>
    <xf numFmtId="39" fontId="32" fillId="20" borderId="7" xfId="9" applyNumberFormat="1" applyFill="1" applyBorder="1" applyAlignment="1">
      <alignment horizontal="center"/>
    </xf>
    <xf numFmtId="37" fontId="32" fillId="20" borderId="7" xfId="9" applyNumberFormat="1" applyFill="1" applyBorder="1" applyAlignment="1">
      <alignment horizontal="center"/>
    </xf>
    <xf numFmtId="0" fontId="32" fillId="0" borderId="7" xfId="9" applyBorder="1" applyAlignment="1">
      <alignment horizontal="center"/>
    </xf>
    <xf numFmtId="0" fontId="72" fillId="0" borderId="0" xfId="0" applyFont="1"/>
    <xf numFmtId="0" fontId="77" fillId="0" borderId="0" xfId="0" applyFont="1"/>
    <xf numFmtId="49" fontId="17" fillId="0" borderId="0" xfId="0" applyNumberFormat="1" applyFont="1" applyAlignment="1">
      <alignment horizontal="left"/>
    </xf>
    <xf numFmtId="167" fontId="12" fillId="11" borderId="1" xfId="0" applyNumberFormat="1" applyFont="1" applyFill="1" applyBorder="1" applyAlignment="1">
      <alignment horizontal="center"/>
    </xf>
    <xf numFmtId="0" fontId="66" fillId="3" borderId="1" xfId="3" applyFont="1" applyFill="1" applyBorder="1" applyAlignment="1">
      <alignment horizontal="center" vertical="center" wrapText="1"/>
    </xf>
    <xf numFmtId="167" fontId="12" fillId="6" borderId="1" xfId="2" applyNumberFormat="1" applyFont="1" applyFill="1" applyBorder="1" applyAlignment="1">
      <alignment horizontal="center" vertical="center" wrapText="1"/>
    </xf>
    <xf numFmtId="167" fontId="9" fillId="11" borderId="1" xfId="2" applyNumberFormat="1" applyFont="1" applyFill="1" applyBorder="1" applyAlignment="1">
      <alignment horizontal="center" vertical="center" wrapText="1"/>
    </xf>
    <xf numFmtId="0" fontId="9" fillId="6" borderId="0" xfId="60" applyFont="1" applyFill="1" applyAlignment="1">
      <alignment wrapText="1"/>
    </xf>
    <xf numFmtId="0" fontId="12" fillId="6" borderId="0" xfId="60" applyFont="1" applyFill="1" applyAlignment="1">
      <alignment wrapText="1"/>
    </xf>
    <xf numFmtId="0" fontId="12" fillId="15" borderId="21" xfId="60" applyFont="1" applyFill="1" applyBorder="1"/>
    <xf numFmtId="0" fontId="12" fillId="15" borderId="11" xfId="60" applyFont="1" applyFill="1" applyBorder="1"/>
    <xf numFmtId="0" fontId="12" fillId="15" borderId="22" xfId="60" applyFont="1" applyFill="1" applyBorder="1"/>
    <xf numFmtId="0" fontId="8" fillId="2" borderId="1" xfId="3" applyFill="1" applyBorder="1" applyAlignment="1">
      <alignment horizontal="center" vertical="center" wrapText="1"/>
    </xf>
    <xf numFmtId="0" fontId="12" fillId="3" borderId="0" xfId="60" applyFont="1" applyFill="1"/>
    <xf numFmtId="0" fontId="12" fillId="4" borderId="0" xfId="60" applyFont="1" applyFill="1"/>
    <xf numFmtId="0" fontId="30" fillId="3" borderId="0" xfId="0" applyFont="1" applyFill="1" applyAlignment="1">
      <alignment vertical="center"/>
    </xf>
    <xf numFmtId="0" fontId="31" fillId="3" borderId="0" xfId="0" applyFont="1" applyFill="1" applyAlignment="1">
      <alignment vertical="center"/>
    </xf>
    <xf numFmtId="0" fontId="30" fillId="4" borderId="0" xfId="0" applyFont="1" applyFill="1" applyAlignment="1">
      <alignment vertical="center"/>
    </xf>
    <xf numFmtId="0" fontId="31" fillId="4" borderId="0" xfId="0" applyFont="1" applyFill="1" applyAlignment="1">
      <alignment vertical="center"/>
    </xf>
    <xf numFmtId="0" fontId="28" fillId="7" borderId="1" xfId="0" applyFont="1" applyFill="1" applyBorder="1" applyAlignment="1">
      <alignment vertical="center"/>
    </xf>
    <xf numFmtId="0" fontId="12" fillId="7" borderId="0" xfId="60" applyFont="1" applyFill="1"/>
    <xf numFmtId="0" fontId="78" fillId="7" borderId="0" xfId="3" applyFont="1" applyFill="1"/>
    <xf numFmtId="0" fontId="9" fillId="9" borderId="1" xfId="60" applyFont="1" applyFill="1" applyBorder="1" applyAlignment="1">
      <alignment vertical="center"/>
    </xf>
    <xf numFmtId="0" fontId="9" fillId="9" borderId="1" xfId="60" applyFont="1" applyFill="1" applyBorder="1" applyAlignment="1">
      <alignment vertical="center" wrapText="1"/>
    </xf>
    <xf numFmtId="0" fontId="23" fillId="9" borderId="0" xfId="60" applyFont="1" applyFill="1"/>
    <xf numFmtId="0" fontId="9" fillId="9" borderId="0" xfId="60" applyFont="1" applyFill="1" applyAlignment="1">
      <alignment vertical="center"/>
    </xf>
    <xf numFmtId="0" fontId="9" fillId="9" borderId="0" xfId="60" applyFont="1" applyFill="1" applyAlignment="1">
      <alignment wrapText="1"/>
    </xf>
    <xf numFmtId="0" fontId="9" fillId="9" borderId="6" xfId="60" applyFont="1" applyFill="1" applyBorder="1" applyAlignment="1">
      <alignment wrapText="1"/>
    </xf>
    <xf numFmtId="8" fontId="12" fillId="0" borderId="1" xfId="60" applyNumberFormat="1" applyFont="1" applyBorder="1" applyAlignment="1">
      <alignment horizontal="center" vertical="center" wrapText="1"/>
    </xf>
    <xf numFmtId="8" fontId="56" fillId="0" borderId="1" xfId="60" applyNumberFormat="1" applyFont="1" applyBorder="1" applyAlignment="1">
      <alignment horizontal="center" vertical="center"/>
    </xf>
    <xf numFmtId="0" fontId="9" fillId="9" borderId="0" xfId="60" applyFont="1" applyFill="1"/>
    <xf numFmtId="0" fontId="12" fillId="6" borderId="1" xfId="60" applyFont="1" applyFill="1" applyBorder="1" applyAlignment="1">
      <alignment wrapText="1"/>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0" fillId="2" borderId="4" xfId="0" applyFill="1" applyBorder="1" applyAlignment="1">
      <alignment horizontal="center"/>
    </xf>
    <xf numFmtId="0" fontId="6" fillId="2" borderId="9" xfId="0" applyFont="1" applyFill="1" applyBorder="1"/>
    <xf numFmtId="0" fontId="6" fillId="2" borderId="5" xfId="0" applyFont="1" applyFill="1" applyBorder="1"/>
    <xf numFmtId="0" fontId="6" fillId="51" borderId="1" xfId="0" applyFont="1" applyFill="1" applyBorder="1" applyAlignment="1">
      <alignment horizontal="center" vertical="center"/>
    </xf>
    <xf numFmtId="0" fontId="26" fillId="15" borderId="4" xfId="0" applyFont="1" applyFill="1" applyBorder="1"/>
    <xf numFmtId="0" fontId="26" fillId="15" borderId="9" xfId="0" applyFont="1" applyFill="1" applyBorder="1"/>
    <xf numFmtId="0" fontId="26" fillId="15" borderId="5" xfId="0" applyFont="1" applyFill="1" applyBorder="1"/>
    <xf numFmtId="0" fontId="12" fillId="1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9" borderId="4" xfId="60" applyFont="1" applyFill="1" applyBorder="1" applyAlignment="1">
      <alignment vertical="center"/>
    </xf>
    <xf numFmtId="0" fontId="9" fillId="9" borderId="9" xfId="60" applyFont="1" applyFill="1" applyBorder="1" applyAlignment="1">
      <alignment vertical="center"/>
    </xf>
    <xf numFmtId="0" fontId="9" fillId="9" borderId="5" xfId="60" applyFont="1" applyFill="1" applyBorder="1" applyAlignment="1">
      <alignment vertical="center"/>
    </xf>
    <xf numFmtId="0" fontId="58" fillId="11" borderId="4" xfId="60" applyFont="1" applyFill="1" applyBorder="1"/>
    <xf numFmtId="0" fontId="58" fillId="11" borderId="9" xfId="60" applyFont="1" applyFill="1" applyBorder="1"/>
    <xf numFmtId="0" fontId="58" fillId="11" borderId="5" xfId="60" applyFont="1" applyFill="1" applyBorder="1"/>
    <xf numFmtId="0" fontId="9" fillId="5" borderId="1" xfId="60" applyFont="1" applyFill="1" applyBorder="1" applyAlignment="1">
      <alignment horizontal="center" vertical="center" wrapText="1"/>
    </xf>
    <xf numFmtId="0" fontId="9" fillId="10" borderId="1" xfId="60" applyFont="1" applyFill="1" applyBorder="1" applyAlignment="1">
      <alignment horizontal="center" vertical="center" wrapText="1"/>
    </xf>
    <xf numFmtId="0" fontId="9" fillId="2" borderId="1" xfId="60" applyFont="1" applyFill="1" applyBorder="1" applyAlignment="1">
      <alignment horizontal="center" vertical="center" wrapText="1"/>
    </xf>
    <xf numFmtId="0" fontId="9" fillId="5" borderId="1" xfId="60" applyFont="1" applyFill="1" applyBorder="1" applyAlignment="1">
      <alignment horizontal="center" wrapText="1"/>
    </xf>
    <xf numFmtId="0" fontId="9" fillId="52" borderId="1" xfId="60" applyFont="1" applyFill="1" applyBorder="1" applyAlignment="1">
      <alignment vertical="center" wrapText="1"/>
    </xf>
    <xf numFmtId="0" fontId="9" fillId="52" borderId="1" xfId="60" applyFont="1" applyFill="1" applyBorder="1" applyAlignment="1">
      <alignment horizontal="center" wrapText="1"/>
    </xf>
    <xf numFmtId="0" fontId="12" fillId="2" borderId="1" xfId="60" applyFont="1" applyFill="1" applyBorder="1" applyAlignment="1">
      <alignment vertical="center" wrapText="1"/>
    </xf>
    <xf numFmtId="0" fontId="9" fillId="2" borderId="1" xfId="60" applyFont="1" applyFill="1" applyBorder="1" applyAlignment="1">
      <alignment horizontal="center" wrapText="1"/>
    </xf>
    <xf numFmtId="0" fontId="9" fillId="10" borderId="1" xfId="60" applyFont="1" applyFill="1" applyBorder="1" applyAlignment="1">
      <alignment horizontal="center" wrapText="1"/>
    </xf>
    <xf numFmtId="0" fontId="9" fillId="52" borderId="7" xfId="60" applyFont="1" applyFill="1" applyBorder="1" applyAlignment="1">
      <alignment horizontal="center" vertical="center" wrapText="1"/>
    </xf>
    <xf numFmtId="0" fontId="9" fillId="5" borderId="7" xfId="60" applyFont="1" applyFill="1" applyBorder="1" applyAlignment="1">
      <alignment horizontal="center" vertical="center" wrapText="1"/>
    </xf>
    <xf numFmtId="0" fontId="9" fillId="10" borderId="7" xfId="60" applyFont="1" applyFill="1" applyBorder="1" applyAlignment="1">
      <alignment horizontal="center" vertical="center" wrapText="1"/>
    </xf>
    <xf numFmtId="0" fontId="9" fillId="2" borderId="7" xfId="60" applyFont="1" applyFill="1" applyBorder="1" applyAlignment="1">
      <alignment horizontal="center" vertical="center" wrapText="1"/>
    </xf>
    <xf numFmtId="0" fontId="9" fillId="13" borderId="1" xfId="60" applyFont="1" applyFill="1" applyBorder="1" applyAlignment="1">
      <alignment horizontal="center" wrapText="1"/>
    </xf>
    <xf numFmtId="0" fontId="9" fillId="13" borderId="4" xfId="60" applyFont="1" applyFill="1" applyBorder="1" applyAlignment="1">
      <alignment horizontal="center" wrapText="1"/>
    </xf>
    <xf numFmtId="0" fontId="9" fillId="9" borderId="1" xfId="60" applyFont="1" applyFill="1" applyBorder="1" applyAlignment="1">
      <alignment horizontal="center" wrapText="1"/>
    </xf>
    <xf numFmtId="0" fontId="9" fillId="14" borderId="1" xfId="60" applyFont="1" applyFill="1" applyBorder="1" applyAlignment="1">
      <alignment horizontal="center" wrapText="1"/>
    </xf>
    <xf numFmtId="0" fontId="9" fillId="9" borderId="1" xfId="60" applyFont="1" applyFill="1" applyBorder="1" applyAlignment="1">
      <alignment horizontal="center" vertical="center" wrapText="1"/>
    </xf>
    <xf numFmtId="0" fontId="9" fillId="14" borderId="1" xfId="60" applyFont="1" applyFill="1" applyBorder="1" applyAlignment="1">
      <alignment horizontal="center" vertical="center" wrapText="1"/>
    </xf>
    <xf numFmtId="0" fontId="9" fillId="13" borderId="1" xfId="60" applyFont="1" applyFill="1" applyBorder="1" applyAlignment="1">
      <alignment horizontal="center" vertical="center" wrapText="1"/>
    </xf>
    <xf numFmtId="0" fontId="12" fillId="0" borderId="1" xfId="60" applyFont="1" applyBorder="1" applyAlignment="1">
      <alignment vertical="center" wrapText="1"/>
    </xf>
    <xf numFmtId="8" fontId="12" fillId="0" borderId="4" xfId="60" applyNumberFormat="1" applyFont="1" applyBorder="1" applyAlignment="1">
      <alignment horizontal="center" vertical="center" wrapText="1"/>
    </xf>
    <xf numFmtId="0" fontId="9" fillId="6" borderId="1" xfId="60" applyFont="1" applyFill="1" applyBorder="1" applyAlignment="1">
      <alignment vertical="center" wrapText="1"/>
    </xf>
    <xf numFmtId="0" fontId="12" fillId="0" borderId="7" xfId="60" applyFont="1" applyBorder="1"/>
    <xf numFmtId="0" fontId="12" fillId="6" borderId="0" xfId="60" applyFont="1" applyFill="1"/>
    <xf numFmtId="0" fontId="0" fillId="6" borderId="0" xfId="0" applyFill="1" applyAlignment="1">
      <alignment horizontal="center" vertical="center" wrapText="1"/>
    </xf>
    <xf numFmtId="167" fontId="12" fillId="6" borderId="0" xfId="60" applyNumberFormat="1" applyFont="1" applyFill="1" applyAlignment="1">
      <alignment horizontal="left"/>
    </xf>
    <xf numFmtId="0" fontId="23" fillId="6" borderId="0" xfId="60" applyFont="1" applyFill="1"/>
    <xf numFmtId="0" fontId="12" fillId="6" borderId="7" xfId="60" applyFont="1" applyFill="1" applyBorder="1"/>
    <xf numFmtId="0" fontId="82" fillId="6" borderId="0" xfId="60" applyFont="1" applyFill="1"/>
    <xf numFmtId="0" fontId="70" fillId="7" borderId="31" xfId="9" applyFont="1" applyFill="1" applyBorder="1" applyAlignment="1">
      <alignment horizontal="left" wrapText="1"/>
    </xf>
    <xf numFmtId="0" fontId="0" fillId="0" borderId="7" xfId="0" applyBorder="1" applyAlignment="1">
      <alignment horizontal="left"/>
    </xf>
    <xf numFmtId="0" fontId="32" fillId="0" borderId="7" xfId="9" quotePrefix="1" applyBorder="1" applyAlignment="1">
      <alignment horizontal="left"/>
    </xf>
    <xf numFmtId="0" fontId="69" fillId="7" borderId="4" xfId="9" applyFont="1" applyFill="1" applyBorder="1" applyAlignment="1">
      <alignment horizontal="center"/>
    </xf>
    <xf numFmtId="0" fontId="69" fillId="7" borderId="9" xfId="9" applyFont="1" applyFill="1" applyBorder="1" applyAlignment="1">
      <alignment horizontal="center"/>
    </xf>
    <xf numFmtId="0" fontId="70" fillId="7" borderId="8" xfId="9" applyFont="1" applyFill="1" applyBorder="1" applyAlignment="1">
      <alignment horizontal="left" vertical="top"/>
    </xf>
    <xf numFmtId="0" fontId="70" fillId="7" borderId="6" xfId="9" applyFont="1" applyFill="1" applyBorder="1" applyAlignment="1">
      <alignment horizontal="left" vertical="top"/>
    </xf>
    <xf numFmtId="0" fontId="69" fillId="7" borderId="5" xfId="9" applyFont="1" applyFill="1" applyBorder="1" applyAlignment="1">
      <alignment horizontal="center"/>
    </xf>
    <xf numFmtId="0" fontId="34" fillId="6" borderId="0" xfId="0" applyFont="1" applyFill="1" applyAlignment="1">
      <alignment vertical="center"/>
    </xf>
    <xf numFmtId="0" fontId="34" fillId="6" borderId="0" xfId="0" applyFont="1" applyFill="1" applyAlignment="1">
      <alignment vertical="center" wrapText="1"/>
    </xf>
    <xf numFmtId="0" fontId="0" fillId="6" borderId="0" xfId="0" applyFill="1" applyAlignment="1">
      <alignment vertical="center"/>
    </xf>
    <xf numFmtId="0" fontId="81" fillId="6" borderId="0" xfId="0" applyFont="1" applyFill="1" applyAlignment="1">
      <alignment wrapText="1"/>
    </xf>
    <xf numFmtId="0" fontId="79" fillId="6" borderId="0" xfId="0" applyFont="1" applyFill="1" applyAlignment="1">
      <alignment wrapText="1"/>
    </xf>
    <xf numFmtId="0" fontId="80" fillId="6" borderId="0" xfId="0" applyFont="1" applyFill="1" applyAlignment="1">
      <alignment vertical="center" wrapText="1"/>
    </xf>
    <xf numFmtId="0" fontId="83" fillId="6" borderId="0" xfId="0" applyFont="1" applyFill="1" applyAlignment="1">
      <alignment horizontal="left" vertical="center" wrapText="1"/>
    </xf>
    <xf numFmtId="0" fontId="62" fillId="6" borderId="0" xfId="0" applyFont="1" applyFill="1" applyAlignment="1">
      <alignment horizontal="left" vertical="center" wrapText="1"/>
    </xf>
    <xf numFmtId="0" fontId="83" fillId="6" borderId="0" xfId="0" applyFont="1" applyFill="1" applyAlignment="1">
      <alignment vertical="center" wrapText="1"/>
    </xf>
    <xf numFmtId="0" fontId="63" fillId="6" borderId="0" xfId="0" applyFont="1" applyFill="1" applyAlignment="1">
      <alignment horizontal="left" vertical="center" wrapText="1"/>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84" fillId="6" borderId="0" xfId="3" applyFont="1" applyFill="1" applyBorder="1"/>
    <xf numFmtId="0" fontId="87" fillId="6" borderId="0" xfId="0" applyFont="1" applyFill="1"/>
    <xf numFmtId="0" fontId="84" fillId="6" borderId="0" xfId="3" applyFont="1" applyFill="1" applyBorder="1" applyAlignment="1">
      <alignment vertical="center" wrapText="1"/>
    </xf>
    <xf numFmtId="0" fontId="88" fillId="6" borderId="0" xfId="3" applyFont="1" applyFill="1"/>
    <xf numFmtId="0" fontId="81" fillId="6" borderId="0" xfId="0" applyFont="1" applyFill="1" applyAlignment="1">
      <alignment horizontal="center" wrapText="1"/>
    </xf>
    <xf numFmtId="0" fontId="6" fillId="2" borderId="4" xfId="0" applyFont="1" applyFill="1" applyBorder="1" applyAlignment="1">
      <alignment horizontal="center" vertical="center"/>
    </xf>
    <xf numFmtId="0" fontId="6" fillId="2" borderId="10" xfId="0" applyFont="1" applyFill="1" applyBorder="1" applyAlignment="1">
      <alignment horizontal="center" vertical="center"/>
    </xf>
    <xf numFmtId="0" fontId="0" fillId="2" borderId="3" xfId="0" applyFill="1" applyBorder="1" applyAlignment="1">
      <alignment horizontal="center"/>
    </xf>
    <xf numFmtId="49" fontId="12" fillId="0" borderId="1" xfId="0" applyNumberFormat="1" applyFont="1" applyBorder="1" applyAlignment="1">
      <alignment horizontal="center"/>
    </xf>
    <xf numFmtId="0" fontId="12" fillId="0" borderId="7" xfId="0" applyFont="1" applyBorder="1" applyAlignment="1">
      <alignment horizontal="left"/>
    </xf>
    <xf numFmtId="49" fontId="27" fillId="0" borderId="0" xfId="0" applyNumberFormat="1" applyFont="1" applyAlignment="1">
      <alignment horizontal="left"/>
    </xf>
    <xf numFmtId="3" fontId="12" fillId="0" borderId="0" xfId="0" applyNumberFormat="1" applyFont="1"/>
    <xf numFmtId="172" fontId="12" fillId="6" borderId="1" xfId="0" applyNumberFormat="1" applyFont="1" applyFill="1" applyBorder="1" applyAlignment="1">
      <alignment horizontal="center" vertical="center"/>
    </xf>
    <xf numFmtId="172" fontId="12" fillId="0" borderId="1" xfId="0" applyNumberFormat="1" applyFont="1" applyBorder="1" applyAlignment="1">
      <alignment horizontal="center" vertical="center"/>
    </xf>
    <xf numFmtId="49" fontId="6" fillId="14" borderId="7" xfId="0" applyNumberFormat="1" applyFont="1" applyFill="1" applyBorder="1" applyAlignment="1">
      <alignment horizontal="center" vertical="center" wrapText="1"/>
    </xf>
    <xf numFmtId="0" fontId="6" fillId="14" borderId="7" xfId="0" applyFont="1" applyFill="1" applyBorder="1" applyAlignment="1">
      <alignment horizontal="center" vertical="center"/>
    </xf>
    <xf numFmtId="0" fontId="15" fillId="3" borderId="1" xfId="0" applyFont="1" applyFill="1" applyBorder="1" applyAlignment="1">
      <alignment horizontal="center" vertical="center" wrapText="1"/>
    </xf>
    <xf numFmtId="0" fontId="24" fillId="11" borderId="1" xfId="3" applyFont="1" applyFill="1" applyBorder="1" applyAlignment="1">
      <alignment horizontal="center" vertical="center" wrapText="1"/>
    </xf>
    <xf numFmtId="0" fontId="15" fillId="4" borderId="1" xfId="0" applyFont="1" applyFill="1" applyBorder="1" applyAlignment="1">
      <alignment horizontal="center" vertical="center" wrapText="1"/>
    </xf>
    <xf numFmtId="0" fontId="0" fillId="11" borderId="0" xfId="0" applyFill="1"/>
    <xf numFmtId="14" fontId="0" fillId="11" borderId="0" xfId="0" applyNumberFormat="1" applyFill="1" applyAlignment="1">
      <alignment horizontal="center"/>
    </xf>
    <xf numFmtId="0" fontId="0" fillId="2" borderId="30" xfId="0" applyFill="1" applyBorder="1"/>
    <xf numFmtId="0" fontId="6" fillId="2" borderId="31" xfId="0" applyFont="1" applyFill="1" applyBorder="1"/>
    <xf numFmtId="0" fontId="0" fillId="2" borderId="0" xfId="0" applyFill="1"/>
    <xf numFmtId="0" fontId="6" fillId="2" borderId="3" xfId="0" applyFont="1" applyFill="1" applyBorder="1"/>
    <xf numFmtId="0" fontId="0" fillId="2" borderId="31" xfId="0" applyFill="1" applyBorder="1"/>
    <xf numFmtId="0" fontId="23" fillId="2" borderId="4" xfId="0" applyFont="1" applyFill="1" applyBorder="1"/>
    <xf numFmtId="0" fontId="0" fillId="2" borderId="9" xfId="0" applyFill="1" applyBorder="1"/>
    <xf numFmtId="0" fontId="0" fillId="2" borderId="5" xfId="0" applyFill="1" applyBorder="1"/>
    <xf numFmtId="0" fontId="9" fillId="2" borderId="7" xfId="0" applyFont="1" applyFill="1" applyBorder="1" applyAlignment="1">
      <alignment horizontal="center"/>
    </xf>
    <xf numFmtId="0" fontId="6" fillId="2" borderId="11" xfId="0" applyFont="1" applyFill="1" applyBorder="1" applyAlignment="1">
      <alignment horizontal="center" wrapText="1"/>
    </xf>
    <xf numFmtId="0" fontId="0" fillId="2" borderId="21" xfId="0" applyFill="1" applyBorder="1" applyAlignment="1">
      <alignment horizontal="center"/>
    </xf>
    <xf numFmtId="164" fontId="1" fillId="0" borderId="7" xfId="1" applyNumberFormat="1" applyFont="1" applyBorder="1" applyAlignment="1">
      <alignment horizontal="center" vertical="center"/>
    </xf>
    <xf numFmtId="0" fontId="6" fillId="2" borderId="2" xfId="0" applyFont="1" applyFill="1" applyBorder="1" applyAlignment="1">
      <alignment horizontal="left"/>
    </xf>
    <xf numFmtId="0" fontId="0" fillId="2" borderId="0" xfId="0" applyFill="1" applyAlignment="1">
      <alignment horizontal="center"/>
    </xf>
    <xf numFmtId="0" fontId="6" fillId="2" borderId="2" xfId="0" applyFont="1" applyFill="1" applyBorder="1"/>
    <xf numFmtId="0" fontId="0" fillId="2" borderId="9" xfId="0" applyFill="1" applyBorder="1" applyAlignment="1">
      <alignment horizontal="center"/>
    </xf>
    <xf numFmtId="3" fontId="0" fillId="0" borderId="0" xfId="0" applyNumberFormat="1"/>
    <xf numFmtId="3" fontId="1" fillId="0" borderId="7" xfId="1" applyNumberFormat="1" applyFont="1" applyBorder="1" applyAlignment="1">
      <alignment horizontal="center" vertical="center"/>
    </xf>
    <xf numFmtId="167" fontId="0" fillId="0" borderId="0" xfId="0" applyNumberFormat="1"/>
    <xf numFmtId="168" fontId="0" fillId="11" borderId="0" xfId="0" applyNumberFormat="1" applyFill="1" applyAlignment="1">
      <alignment horizontal="center"/>
    </xf>
    <xf numFmtId="0" fontId="0" fillId="11" borderId="0" xfId="0" applyFill="1" applyAlignment="1">
      <alignment horizontal="center"/>
    </xf>
    <xf numFmtId="168" fontId="12" fillId="11" borderId="1" xfId="0" applyNumberFormat="1" applyFont="1" applyFill="1" applyBorder="1" applyAlignment="1">
      <alignment horizontal="center" vertical="center"/>
    </xf>
    <xf numFmtId="167" fontId="9" fillId="11" borderId="7" xfId="0" applyNumberFormat="1" applyFont="1" applyFill="1" applyBorder="1" applyAlignment="1">
      <alignment horizontal="center" vertical="center" wrapText="1"/>
    </xf>
    <xf numFmtId="37" fontId="62" fillId="6" borderId="32" xfId="0" applyNumberFormat="1" applyFont="1" applyFill="1" applyBorder="1" applyAlignment="1">
      <alignment horizontal="left" vertical="center" wrapText="1"/>
    </xf>
    <xf numFmtId="37" fontId="62" fillId="6" borderId="33" xfId="0" applyNumberFormat="1"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29" xfId="0" applyFont="1" applyBorder="1" applyAlignment="1">
      <alignment horizontal="left" vertical="center" wrapText="1"/>
    </xf>
    <xf numFmtId="37" fontId="62" fillId="6" borderId="29" xfId="0" applyNumberFormat="1" applyFont="1" applyFill="1" applyBorder="1" applyAlignment="1">
      <alignment horizontal="left" vertical="center" wrapText="1"/>
    </xf>
    <xf numFmtId="0" fontId="64" fillId="12" borderId="26" xfId="0" applyFont="1" applyFill="1" applyBorder="1" applyAlignment="1">
      <alignment horizontal="center" vertical="center" wrapText="1"/>
    </xf>
    <xf numFmtId="0" fontId="25" fillId="11" borderId="1" xfId="0" applyFont="1" applyFill="1" applyBorder="1" applyAlignment="1">
      <alignment vertical="center"/>
    </xf>
    <xf numFmtId="0" fontId="65" fillId="12" borderId="4" xfId="0" applyFont="1" applyFill="1" applyBorder="1"/>
    <xf numFmtId="0" fontId="23" fillId="12" borderId="9" xfId="0" applyFont="1" applyFill="1" applyBorder="1" applyAlignment="1">
      <alignment horizontal="left"/>
    </xf>
    <xf numFmtId="0" fontId="0" fillId="12" borderId="5" xfId="0" applyFill="1" applyBorder="1"/>
    <xf numFmtId="0" fontId="64" fillId="12" borderId="34" xfId="0" applyFont="1" applyFill="1" applyBorder="1" applyAlignment="1">
      <alignment horizontal="left" vertical="center" wrapText="1"/>
    </xf>
    <xf numFmtId="0" fontId="64" fillId="12" borderId="1" xfId="0" applyFont="1" applyFill="1" applyBorder="1" applyAlignment="1">
      <alignment horizontal="center" vertical="center"/>
    </xf>
    <xf numFmtId="0" fontId="54" fillId="0" borderId="1" xfId="0" applyFont="1" applyBorder="1" applyAlignment="1">
      <alignment vertical="center" wrapText="1"/>
    </xf>
    <xf numFmtId="0" fontId="12" fillId="7" borderId="1" xfId="0" applyFont="1" applyFill="1" applyBorder="1" applyAlignment="1">
      <alignment horizontal="center" vertical="center" wrapText="1"/>
    </xf>
    <xf numFmtId="0" fontId="66" fillId="3" borderId="0" xfId="3" applyFont="1" applyFill="1" applyAlignment="1">
      <alignment horizontal="center" vertical="center" wrapText="1"/>
    </xf>
    <xf numFmtId="0" fontId="15" fillId="7" borderId="1" xfId="0" applyFont="1" applyFill="1" applyBorder="1" applyAlignment="1">
      <alignment horizontal="center" vertical="center" wrapText="1"/>
    </xf>
    <xf numFmtId="0" fontId="24" fillId="7" borderId="1" xfId="3" applyFont="1" applyFill="1" applyBorder="1" applyAlignment="1">
      <alignment horizontal="center" vertical="center" wrapText="1"/>
    </xf>
    <xf numFmtId="0" fontId="78" fillId="5" borderId="0" xfId="3" applyFont="1" applyFill="1" applyAlignment="1">
      <alignment horizontal="center" vertical="center" wrapText="1"/>
    </xf>
    <xf numFmtId="0" fontId="90" fillId="0" borderId="0" xfId="3" applyFont="1" applyFill="1" applyAlignment="1">
      <alignment horizontal="center" vertical="center"/>
    </xf>
    <xf numFmtId="0" fontId="62" fillId="6" borderId="0" xfId="0" applyFont="1" applyFill="1" applyAlignment="1">
      <alignment horizontal="center"/>
    </xf>
    <xf numFmtId="0" fontId="90" fillId="6" borderId="0" xfId="3" applyFont="1" applyFill="1" applyAlignment="1">
      <alignment horizontal="center" vertical="center" wrapText="1"/>
    </xf>
    <xf numFmtId="0" fontId="25" fillId="0" borderId="0" xfId="0" applyFont="1"/>
    <xf numFmtId="0" fontId="90" fillId="6" borderId="6" xfId="3" applyFont="1" applyFill="1" applyBorder="1" applyAlignment="1">
      <alignment horizontal="center" vertical="center" wrapText="1"/>
    </xf>
    <xf numFmtId="0" fontId="90" fillId="0" borderId="0" xfId="3" applyFont="1" applyFill="1" applyAlignment="1">
      <alignment horizontal="center" vertical="center" wrapText="1"/>
    </xf>
    <xf numFmtId="0" fontId="90" fillId="0" borderId="0" xfId="3" applyFont="1" applyFill="1" applyAlignment="1">
      <alignment horizontal="left" vertical="center"/>
    </xf>
    <xf numFmtId="0" fontId="90" fillId="6" borderId="1" xfId="3" applyFont="1" applyFill="1" applyBorder="1" applyAlignment="1">
      <alignment vertical="center"/>
    </xf>
    <xf numFmtId="37" fontId="92" fillId="9" borderId="27" xfId="0" applyNumberFormat="1" applyFont="1" applyFill="1" applyBorder="1" applyAlignment="1">
      <alignment vertical="center"/>
    </xf>
    <xf numFmtId="37" fontId="92" fillId="9" borderId="26" xfId="0" applyNumberFormat="1" applyFont="1" applyFill="1" applyBorder="1" applyAlignment="1">
      <alignment vertical="center"/>
    </xf>
    <xf numFmtId="0" fontId="91" fillId="6" borderId="0" xfId="0" applyFont="1" applyFill="1" applyAlignment="1">
      <alignment horizontal="left"/>
    </xf>
    <xf numFmtId="0" fontId="15" fillId="12" borderId="1" xfId="0" applyFont="1" applyFill="1" applyBorder="1" applyAlignment="1">
      <alignment horizontal="center" vertical="center" wrapText="1"/>
    </xf>
    <xf numFmtId="0" fontId="24" fillId="12" borderId="1" xfId="3" applyFont="1" applyFill="1" applyBorder="1" applyAlignment="1">
      <alignment horizontal="center" vertical="center" wrapText="1"/>
    </xf>
    <xf numFmtId="0" fontId="21" fillId="53" borderId="0" xfId="0" applyFont="1" applyFill="1" applyAlignment="1">
      <alignment horizontal="center"/>
    </xf>
    <xf numFmtId="0" fontId="21" fillId="53" borderId="23" xfId="0" applyFont="1" applyFill="1" applyBorder="1" applyAlignment="1">
      <alignment horizontal="center"/>
    </xf>
    <xf numFmtId="167" fontId="12" fillId="6" borderId="4" xfId="2" applyNumberFormat="1" applyFont="1" applyFill="1" applyBorder="1" applyAlignment="1">
      <alignment horizontal="center" vertical="center" wrapText="1"/>
    </xf>
    <xf numFmtId="168" fontId="12" fillId="6" borderId="2" xfId="0" applyNumberFormat="1" applyFont="1" applyFill="1" applyBorder="1" applyAlignment="1">
      <alignment horizontal="center" vertical="center"/>
    </xf>
    <xf numFmtId="168" fontId="12" fillId="6" borderId="7" xfId="0" applyNumberFormat="1" applyFont="1" applyFill="1" applyBorder="1" applyAlignment="1">
      <alignment horizontal="center" vertical="center"/>
    </xf>
    <xf numFmtId="0" fontId="64" fillId="6" borderId="0" xfId="0" applyFont="1" applyFill="1" applyAlignment="1">
      <alignment horizontal="center"/>
    </xf>
    <xf numFmtId="0" fontId="12" fillId="6" borderId="0" xfId="0" applyFont="1" applyFill="1" applyAlignment="1">
      <alignment horizontal="left" vertical="center" wrapText="1"/>
    </xf>
    <xf numFmtId="0" fontId="90" fillId="0" borderId="0" xfId="3" applyFont="1" applyFill="1" applyAlignment="1">
      <alignment horizontal="center" vertical="center" wrapText="1"/>
    </xf>
    <xf numFmtId="0" fontId="29" fillId="7" borderId="2" xfId="0" applyFont="1" applyFill="1" applyBorder="1" applyAlignment="1">
      <alignment horizontal="center" vertical="center"/>
    </xf>
    <xf numFmtId="0" fontId="29" fillId="7" borderId="7" xfId="0" applyFont="1" applyFill="1" applyBorder="1" applyAlignment="1">
      <alignment horizontal="center" vertical="center"/>
    </xf>
    <xf numFmtId="0" fontId="54" fillId="0" borderId="1" xfId="0" applyFont="1" applyBorder="1" applyAlignment="1">
      <alignment vertical="center" wrapText="1"/>
    </xf>
    <xf numFmtId="0" fontId="89" fillId="7" borderId="4" xfId="3" applyFont="1" applyFill="1" applyBorder="1" applyAlignment="1">
      <alignment horizontal="center" vertical="center"/>
    </xf>
    <xf numFmtId="0" fontId="89" fillId="7" borderId="5" xfId="3" applyFont="1" applyFill="1" applyBorder="1" applyAlignment="1">
      <alignment horizontal="center" vertical="center"/>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25" fillId="6" borderId="1" xfId="0" applyFont="1" applyFill="1" applyBorder="1" applyAlignment="1">
      <alignment vertical="center" wrapText="1"/>
    </xf>
    <xf numFmtId="37" fontId="93" fillId="9" borderId="27" xfId="0" applyNumberFormat="1" applyFont="1" applyFill="1" applyBorder="1" applyAlignment="1">
      <alignment vertical="center"/>
    </xf>
    <xf numFmtId="0" fontId="12" fillId="11" borderId="0" xfId="0" applyFont="1" applyFill="1"/>
    <xf numFmtId="0" fontId="94" fillId="9" borderId="25" xfId="3" applyFont="1" applyFill="1" applyBorder="1" applyAlignment="1">
      <alignment horizontal="left" vertical="center" wrapText="1"/>
    </xf>
    <xf numFmtId="0" fontId="94" fillId="9" borderId="27" xfId="3" applyFont="1" applyFill="1" applyBorder="1" applyAlignment="1">
      <alignment horizontal="left" vertical="center" wrapText="1"/>
    </xf>
    <xf numFmtId="0" fontId="94" fillId="9" borderId="26" xfId="3" applyFont="1" applyFill="1" applyBorder="1" applyAlignment="1">
      <alignment horizontal="left" vertical="center" wrapText="1"/>
    </xf>
    <xf numFmtId="0" fontId="94" fillId="9" borderId="24" xfId="3" applyFont="1" applyFill="1" applyBorder="1" applyAlignment="1">
      <alignment horizontal="left" vertical="center" wrapText="1"/>
    </xf>
    <xf numFmtId="0" fontId="94" fillId="9" borderId="25" xfId="3" applyFont="1" applyFill="1" applyBorder="1" applyAlignment="1">
      <alignment vertical="center" wrapText="1"/>
    </xf>
    <xf numFmtId="0" fontId="94" fillId="9" borderId="0" xfId="3" applyFont="1" applyFill="1" applyAlignment="1">
      <alignment horizontal="left" vertical="center" wrapText="1"/>
    </xf>
    <xf numFmtId="37" fontId="94" fillId="9" borderId="26" xfId="3" applyNumberFormat="1" applyFont="1" applyFill="1" applyBorder="1" applyAlignment="1">
      <alignment vertical="center" wrapText="1"/>
    </xf>
    <xf numFmtId="0" fontId="94" fillId="9" borderId="24" xfId="3" applyFont="1" applyFill="1" applyBorder="1" applyAlignment="1">
      <alignment vertical="center" wrapText="1"/>
    </xf>
    <xf numFmtId="37" fontId="94" fillId="9" borderId="24" xfId="3" applyNumberFormat="1" applyFont="1" applyFill="1" applyBorder="1" applyAlignment="1">
      <alignment vertical="center" wrapText="1"/>
    </xf>
  </cellXfs>
  <cellStyles count="63">
    <cellStyle name="20% - Accent1" xfId="36" builtinId="30" customBuiltin="1"/>
    <cellStyle name="20% - Accent2" xfId="39" builtinId="34" customBuiltin="1"/>
    <cellStyle name="20% - Accent3" xfId="42" builtinId="38" customBuiltin="1"/>
    <cellStyle name="20% - Accent4" xfId="45" builtinId="42" customBuiltin="1"/>
    <cellStyle name="20% - Accent5" xfId="48" builtinId="46" customBuiltin="1"/>
    <cellStyle name="20% - Accent6" xfId="51" builtinId="50" customBuiltin="1"/>
    <cellStyle name="40% - Accent1" xfId="37" builtinId="31" customBuiltin="1"/>
    <cellStyle name="40% - Accent2" xfId="40" builtinId="35" customBuiltin="1"/>
    <cellStyle name="40% - Accent3" xfId="43" builtinId="39" customBuiltin="1"/>
    <cellStyle name="40% - Accent4" xfId="46" builtinId="43" customBuiltin="1"/>
    <cellStyle name="40% - Accent5" xfId="49" builtinId="47" customBuiltin="1"/>
    <cellStyle name="40% - Accent6" xfId="52" builtinId="51" customBuiltin="1"/>
    <cellStyle name="60% - Accent1 2" xfId="54" xr:uid="{8E5BCE97-BBB6-407D-AEF9-0C213072143D}"/>
    <cellStyle name="60% - Accent2 2" xfId="55" xr:uid="{225CE574-5EB1-4C8C-BBCA-6D22B50F7859}"/>
    <cellStyle name="60% - Accent3 2" xfId="56" xr:uid="{2F6777A1-E892-4EDB-A527-8060885121A3}"/>
    <cellStyle name="60% - Accent4 2" xfId="57" xr:uid="{9D964642-2818-46FA-9008-C8DF21F481AE}"/>
    <cellStyle name="60% - Accent5 2" xfId="58" xr:uid="{A6149703-6191-4CF1-98B1-0D418AB81A38}"/>
    <cellStyle name="60% - Accent6 2" xfId="59" xr:uid="{997AD66B-7123-43B9-A439-8B68CF9E280A}"/>
    <cellStyle name="Accent1" xfId="35" builtinId="29" customBuiltin="1"/>
    <cellStyle name="Accent2" xfId="38" builtinId="33" customBuiltin="1"/>
    <cellStyle name="Accent3" xfId="41" builtinId="37" customBuiltin="1"/>
    <cellStyle name="Accent4" xfId="44" builtinId="41" customBuiltin="1"/>
    <cellStyle name="Accent5" xfId="47" builtinId="45" customBuiltin="1"/>
    <cellStyle name="Accent6" xfId="50" builtinId="49" customBuiltin="1"/>
    <cellStyle name="Bad" xfId="26" builtinId="27" customBuiltin="1"/>
    <cellStyle name="Calculation" xfId="29" builtinId="22" customBuiltin="1"/>
    <cellStyle name="Check Cell" xfId="31" builtinId="23" customBuiltin="1"/>
    <cellStyle name="Comma" xfId="2" builtinId="3"/>
    <cellStyle name="Comma 2" xfId="8" xr:uid="{E7A3449B-65EF-41F0-884B-AB5472F6BE1B}"/>
    <cellStyle name="Currency" xfId="4" builtinId="4"/>
    <cellStyle name="Date" xfId="12" xr:uid="{2A7A9FF5-C154-4DEA-895E-F4EF6A049D18}"/>
    <cellStyle name="Explanatory Text" xfId="33" builtinId="53" customBuiltin="1"/>
    <cellStyle name="formatted_data" xfId="61" xr:uid="{A61A50BE-D63B-4E84-96CB-2BD053FB5908}"/>
    <cellStyle name="Good" xfId="25" builtinId="26" customBuiltin="1"/>
    <cellStyle name="Header Row 1" xfId="18" xr:uid="{C75A66DF-CB41-4BE4-8491-D0FB16D804C0}"/>
    <cellStyle name="Heading 1" xfId="21" builtinId="16" customBuiltin="1"/>
    <cellStyle name="Heading 2" xfId="22" builtinId="17" customBuiltin="1"/>
    <cellStyle name="Heading 3" xfId="23" builtinId="18" customBuiltin="1"/>
    <cellStyle name="Heading 4" xfId="24" builtinId="19" customBuiltin="1"/>
    <cellStyle name="Hyperlink" xfId="3" builtinId="8"/>
    <cellStyle name="Hyperlink 2" xfId="6" xr:uid="{8050F2FA-7242-4478-B247-291755C498F2}"/>
    <cellStyle name="Hyperlink 2 2" xfId="14" xr:uid="{A462396B-ECFE-47C1-9D11-FFF5ED77C92D}"/>
    <cellStyle name="Input" xfId="27" builtinId="20" customBuiltin="1"/>
    <cellStyle name="Linked Cell" xfId="30" builtinId="24" customBuiltin="1"/>
    <cellStyle name="Neutral 2" xfId="53" xr:uid="{531E956F-72A9-4CC2-A587-6343C9186E5E}"/>
    <cellStyle name="Normal" xfId="0" builtinId="0"/>
    <cellStyle name="Normal 2" xfId="5" xr:uid="{1851C98D-421D-402A-935F-1807AB145E83}"/>
    <cellStyle name="Normal 2 2" xfId="11" xr:uid="{2F9F5F5E-3ED6-4FD3-B0FC-81BB8F97B370}"/>
    <cellStyle name="Normal 2 3" xfId="13" xr:uid="{A88147FC-B42D-4269-8D35-D8FB8986BEB2}"/>
    <cellStyle name="Normal 2 4" xfId="10" xr:uid="{D31B609E-147C-46CA-89D4-6C2BFD999DDC}"/>
    <cellStyle name="Normal 2 4 2 2" xfId="16" xr:uid="{6F30629E-0812-46F9-9A3E-E42D2F0EDB96}"/>
    <cellStyle name="Normal 2 5" xfId="60" xr:uid="{5A0E089F-D74C-4A69-9818-7D60B57E64EB}"/>
    <cellStyle name="Normal 2 5 2" xfId="17" xr:uid="{B8DE8A25-FCC2-4E05-BB6D-F38F12A776C6}"/>
    <cellStyle name="Normal 3" xfId="7" xr:uid="{757BD5CB-DE8B-4C00-8172-10B87E75741D}"/>
    <cellStyle name="Normal 3 2" xfId="9" xr:uid="{6821DD4B-BC74-40ED-8951-03E1C415935E}"/>
    <cellStyle name="Normal 3 3" xfId="15" xr:uid="{18D9A407-468E-4881-B3BF-E1BA0F65E291}"/>
    <cellStyle name="Note" xfId="19" builtinId="10" customBuiltin="1"/>
    <cellStyle name="Output" xfId="28" builtinId="21" customBuiltin="1"/>
    <cellStyle name="Percent" xfId="1" builtinId="5"/>
    <cellStyle name="Percent 2" xfId="62" xr:uid="{E2900101-158F-48DB-93E6-1DBED7BD5B5C}"/>
    <cellStyle name="Title" xfId="20" builtinId="15" customBuiltin="1"/>
    <cellStyle name="Total" xfId="34" builtinId="25" customBuiltin="1"/>
    <cellStyle name="Warning Text" xfId="32"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FF99FF"/>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66</xdr:col>
      <xdr:colOff>601322</xdr:colOff>
      <xdr:row>4</xdr:row>
      <xdr:rowOff>104774</xdr:rowOff>
    </xdr:from>
    <xdr:to>
      <xdr:col>76</xdr:col>
      <xdr:colOff>133349</xdr:colOff>
      <xdr:row>29</xdr:row>
      <xdr:rowOff>115357</xdr:rowOff>
    </xdr:to>
    <xdr:grpSp>
      <xdr:nvGrpSpPr>
        <xdr:cNvPr id="4" name="Group 3">
          <a:extLst>
            <a:ext uri="{FF2B5EF4-FFF2-40B4-BE49-F238E27FC236}">
              <a16:creationId xmlns:a16="http://schemas.microsoft.com/office/drawing/2014/main" id="{D55643A1-FC8B-FB3A-6324-367CE0AD83FC}"/>
            </a:ext>
            <a:ext uri="{C183D7F6-B498-43B3-948B-1728B52AA6E4}">
              <adec:decorative xmlns:adec="http://schemas.microsoft.com/office/drawing/2017/decorative" val="1"/>
            </a:ext>
          </a:extLst>
        </xdr:cNvPr>
        <xdr:cNvGrpSpPr/>
      </xdr:nvGrpSpPr>
      <xdr:grpSpPr>
        <a:xfrm>
          <a:off x="15803222" y="2638424"/>
          <a:ext cx="5628027" cy="4773083"/>
          <a:chOff x="23406589" y="1981200"/>
          <a:chExt cx="11466029" cy="7582958"/>
        </a:xfrm>
      </xdr:grpSpPr>
      <xdr:pic>
        <xdr:nvPicPr>
          <xdr:cNvPr id="2" name="Picture 1" descr="Screen shot shows Hospital-Acquired Condition (HAC) dataset for 2015 used file dated 2/19/2025">
            <a:extLst>
              <a:ext uri="{FF2B5EF4-FFF2-40B4-BE49-F238E27FC236}">
                <a16:creationId xmlns:a16="http://schemas.microsoft.com/office/drawing/2014/main" id="{93D4CD38-4221-B0F4-4E09-C9FECC10C1DC}"/>
              </a:ext>
            </a:extLst>
          </xdr:cNvPr>
          <xdr:cNvPicPr>
            <a:picLocks noChangeAspect="1"/>
          </xdr:cNvPicPr>
        </xdr:nvPicPr>
        <xdr:blipFill>
          <a:blip xmlns:r="http://schemas.openxmlformats.org/officeDocument/2006/relationships" r:embed="rId1"/>
          <a:stretch>
            <a:fillRect/>
          </a:stretch>
        </xdr:blipFill>
        <xdr:spPr>
          <a:xfrm>
            <a:off x="23460075" y="1981200"/>
            <a:ext cx="11412543" cy="7582958"/>
          </a:xfrm>
          <a:prstGeom prst="rect">
            <a:avLst/>
          </a:prstGeom>
        </xdr:spPr>
      </xdr:pic>
      <xdr:sp macro="" textlink="">
        <xdr:nvSpPr>
          <xdr:cNvPr id="3" name="Arrow: Right 2">
            <a:extLst>
              <a:ext uri="{FF2B5EF4-FFF2-40B4-BE49-F238E27FC236}">
                <a16:creationId xmlns:a16="http://schemas.microsoft.com/office/drawing/2014/main" id="{909F9BAC-42C5-7F56-0341-28C7DDEA79D2}"/>
              </a:ext>
            </a:extLst>
          </xdr:cNvPr>
          <xdr:cNvSpPr/>
        </xdr:nvSpPr>
        <xdr:spPr>
          <a:xfrm>
            <a:off x="23406589" y="5649570"/>
            <a:ext cx="466725" cy="371474"/>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619125</xdr:colOff>
      <xdr:row>11</xdr:row>
      <xdr:rowOff>179103</xdr:rowOff>
    </xdr:from>
    <xdr:to>
      <xdr:col>31</xdr:col>
      <xdr:colOff>285750</xdr:colOff>
      <xdr:row>38</xdr:row>
      <xdr:rowOff>57150</xdr:rowOff>
    </xdr:to>
    <xdr:pic>
      <xdr:nvPicPr>
        <xdr:cNvPr id="2" name="Picture 1" descr="This is the same table before accessibility changes were instituted.&#10;">
          <a:extLst>
            <a:ext uri="{FF2B5EF4-FFF2-40B4-BE49-F238E27FC236}">
              <a16:creationId xmlns:a16="http://schemas.microsoft.com/office/drawing/2014/main" id="{537E7A55-3E03-5B57-3BBE-670D6672C5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39850" y="2503203"/>
          <a:ext cx="14287500" cy="8364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PYMTRFRM\Hospitals\RATES\Inpatient%20Hospital%20Rates\Rates%20FY26\CMS%20Files%20for%20Rate%20Worksheet\FY%202025%20CMS%20tables%20for%20Rate%20Setting%2010.23.24.xlsx" TargetMode="External"/><Relationship Id="rId1" Type="http://schemas.openxmlformats.org/officeDocument/2006/relationships/externalLinkPath" Target="/PYMTRFRM/Hospitals/RATES/Inpatient%20Hospital%20Rates/Rates%20FY26/CMS%20Files%20for%20Rate%20Worksheet/FY%202025%20CMS%20tables%20for%20Rate%20Setting%2010.2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MS FY2025 FILES IPPS"/>
      <sheetName val="Variable Descriptions"/>
      <sheetName val="FY 2025 CN"/>
      <sheetName val="FY 2025 IFC (2)"/>
      <sheetName val="diff IMPACT IFC - CN"/>
      <sheetName val="FY 2025 CN Table 1A-1E"/>
      <sheetName val="FY 2025 IFC Table 1A-1E"/>
      <sheetName val="FY_2024_HAC_Reduction_Program_H"/>
      <sheetName val="Table 15 - FY25"/>
      <sheetName val="Table 16B"/>
      <sheetName val="FY 2025 Final"/>
      <sheetName val="FY 2025 IFC"/>
      <sheetName val="FY 2025 CMS tables for Rate 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ms.gov/medicare/payment/prospective-payment-systems/acute-inpatient-pps/fy-2025-ipps-final-rule-home-page" TargetMode="External"/><Relationship Id="rId2" Type="http://schemas.openxmlformats.org/officeDocument/2006/relationships/hyperlink" Target="https://www.cms.gov/medicare/acute-inpatient-pps/fy-2023-ipps-final-rule-home-page" TargetMode="External"/><Relationship Id="rId1" Type="http://schemas.openxmlformats.org/officeDocument/2006/relationships/hyperlink" Target="https://www.cms.gov/medicare/acute-inpatient-pps/fy-2023-ipps-final-rule-home-page"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horan@mslc.com" TargetMode="External"/><Relationship Id="rId1" Type="http://schemas.openxmlformats.org/officeDocument/2006/relationships/hyperlink" Target="mailto:diana.lambe@state.co.u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ms.gov/files/document/2025-reporting-cycle-teaching-hospital-listx.xls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ms.gov/files/document/2025-reporting-cycle-teaching-hospital-listx.xlsx"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hcpf.colorado.gov/inpatient-hospital-payment" TargetMode="External"/><Relationship Id="rId1" Type="http://schemas.openxmlformats.org/officeDocument/2006/relationships/hyperlink" Target="https://data.cms.gov/provider-data/search?keyword=Hospital-Acquired%20Condition&amp;theme=Hospita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https://data.cms.gov/provider-data/archived-data/hospitals" TargetMode="External"/><Relationship Id="rId7" Type="http://schemas.openxmlformats.org/officeDocument/2006/relationships/comments" Target="../comments2.xml"/><Relationship Id="rId2" Type="http://schemas.openxmlformats.org/officeDocument/2006/relationships/hyperlink" Target="https://www.cms.gov/medicare/payment/prospective-payment-systems/acute-inpatient-pps/fy-2025-ipps-final-rule-home-page" TargetMode="External"/><Relationship Id="rId1" Type="http://schemas.openxmlformats.org/officeDocument/2006/relationships/hyperlink" Target="https://www.cms.gov/medicare/payment/prospective-payment-systems/acute-inpatient-pps/fy-2025-ipps-final-rule-home-page" TargetMode="External"/><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ms.gov/medicare/payment/prospective-payment-systems/acute-inpatient-pps/fy-2025-ipps-final-rule-home-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6ED22-C808-45A2-8FDA-D6063F3042B9}">
  <sheetPr>
    <tabColor theme="3" tint="0.59999389629810485"/>
  </sheetPr>
  <dimension ref="A1:C25"/>
  <sheetViews>
    <sheetView tabSelected="1" zoomScale="96" zoomScaleNormal="96" workbookViewId="0">
      <pane xSplit="1" ySplit="4" topLeftCell="B5" activePane="bottomRight" state="frozen"/>
      <selection pane="topRight" activeCell="B1" sqref="B1"/>
      <selection pane="bottomLeft" activeCell="A5" sqref="A5"/>
      <selection pane="bottomRight"/>
    </sheetView>
  </sheetViews>
  <sheetFormatPr defaultColWidth="105.140625" defaultRowHeight="15" x14ac:dyDescent="0.25"/>
  <cols>
    <col min="1" max="1" width="35.85546875" style="137" customWidth="1"/>
    <col min="2" max="2" width="148.85546875" style="138" customWidth="1"/>
    <col min="3" max="3" width="30.140625" style="3" customWidth="1"/>
    <col min="4" max="16384" width="105.140625" style="3"/>
  </cols>
  <sheetData>
    <row r="1" spans="1:3" ht="21" x14ac:dyDescent="0.35">
      <c r="A1" s="533" t="s">
        <v>780</v>
      </c>
    </row>
    <row r="3" spans="1:3" ht="26.25" customHeight="1" x14ac:dyDescent="0.4">
      <c r="A3" s="512" t="s">
        <v>0</v>
      </c>
      <c r="B3" s="513"/>
      <c r="C3" s="514"/>
    </row>
    <row r="4" spans="1:3" s="58" customFormat="1" ht="52.5" x14ac:dyDescent="0.25">
      <c r="A4" s="510" t="s">
        <v>1</v>
      </c>
      <c r="B4" s="515" t="s">
        <v>2</v>
      </c>
      <c r="C4" s="516" t="s">
        <v>3</v>
      </c>
    </row>
    <row r="5" spans="1:3" ht="21.75" customHeight="1" x14ac:dyDescent="0.25">
      <c r="A5" s="555" t="s">
        <v>4</v>
      </c>
      <c r="B5" s="247" t="s">
        <v>5</v>
      </c>
      <c r="C5" s="552" t="s">
        <v>6</v>
      </c>
    </row>
    <row r="6" spans="1:3" ht="26.25" customHeight="1" x14ac:dyDescent="0.25">
      <c r="A6" s="556"/>
      <c r="B6" s="247" t="s">
        <v>7</v>
      </c>
      <c r="C6" s="552" t="s">
        <v>6</v>
      </c>
    </row>
    <row r="7" spans="1:3" ht="26.25" customHeight="1" x14ac:dyDescent="0.25">
      <c r="A7" s="556"/>
      <c r="B7" s="247" t="s">
        <v>8</v>
      </c>
      <c r="C7" s="552" t="s">
        <v>6</v>
      </c>
    </row>
    <row r="8" spans="1:3" ht="27" customHeight="1" x14ac:dyDescent="0.25">
      <c r="A8" s="556"/>
      <c r="B8" s="247" t="s">
        <v>9</v>
      </c>
      <c r="C8" s="552" t="s">
        <v>6</v>
      </c>
    </row>
    <row r="9" spans="1:3" ht="42" customHeight="1" x14ac:dyDescent="0.25">
      <c r="A9" s="556"/>
      <c r="B9" s="247" t="s">
        <v>10</v>
      </c>
      <c r="C9" s="552" t="s">
        <v>6</v>
      </c>
    </row>
    <row r="10" spans="1:3" ht="23.25" customHeight="1" x14ac:dyDescent="0.25">
      <c r="A10" s="556"/>
      <c r="B10" s="247" t="s">
        <v>11</v>
      </c>
      <c r="C10" s="552" t="s">
        <v>6</v>
      </c>
    </row>
    <row r="11" spans="1:3" ht="21" customHeight="1" x14ac:dyDescent="0.25">
      <c r="A11" s="556"/>
      <c r="B11" s="247" t="s">
        <v>12</v>
      </c>
      <c r="C11" s="552" t="s">
        <v>6</v>
      </c>
    </row>
    <row r="12" spans="1:3" ht="30" customHeight="1" x14ac:dyDescent="0.25">
      <c r="A12" s="556"/>
      <c r="B12" s="248" t="s">
        <v>13</v>
      </c>
      <c r="C12" s="552" t="s">
        <v>6</v>
      </c>
    </row>
    <row r="13" spans="1:3" ht="55.5" customHeight="1" x14ac:dyDescent="0.25">
      <c r="A13" s="556"/>
      <c r="B13" s="252" t="s">
        <v>14</v>
      </c>
      <c r="C13" s="552" t="s">
        <v>6</v>
      </c>
    </row>
    <row r="14" spans="1:3" ht="26.25" customHeight="1" x14ac:dyDescent="0.25">
      <c r="A14" s="556"/>
      <c r="B14" s="247" t="s">
        <v>15</v>
      </c>
      <c r="C14" s="552" t="s">
        <v>6</v>
      </c>
    </row>
    <row r="15" spans="1:3" ht="77.25" customHeight="1" x14ac:dyDescent="0.25">
      <c r="A15" s="556"/>
      <c r="B15" s="249" t="s">
        <v>16</v>
      </c>
      <c r="C15" s="552" t="s">
        <v>6</v>
      </c>
    </row>
    <row r="16" spans="1:3" ht="78.75" x14ac:dyDescent="0.25">
      <c r="A16" s="557"/>
      <c r="B16" s="249" t="s">
        <v>17</v>
      </c>
      <c r="C16" s="552" t="s">
        <v>6</v>
      </c>
    </row>
    <row r="17" spans="1:3" ht="63" x14ac:dyDescent="0.25">
      <c r="A17" s="558" t="s">
        <v>18</v>
      </c>
      <c r="B17" s="247" t="s">
        <v>19</v>
      </c>
      <c r="C17" s="552" t="s">
        <v>6</v>
      </c>
    </row>
    <row r="18" spans="1:3" ht="47.25" x14ac:dyDescent="0.25">
      <c r="A18" s="559" t="s">
        <v>20</v>
      </c>
      <c r="B18" s="250" t="s">
        <v>21</v>
      </c>
      <c r="C18" s="511" t="s">
        <v>22</v>
      </c>
    </row>
    <row r="19" spans="1:3" ht="24" customHeight="1" x14ac:dyDescent="0.25">
      <c r="A19" s="553" t="s">
        <v>23</v>
      </c>
      <c r="B19" s="251" t="s">
        <v>24</v>
      </c>
      <c r="C19" s="552" t="s">
        <v>6</v>
      </c>
    </row>
    <row r="20" spans="1:3" ht="21" customHeight="1" x14ac:dyDescent="0.25">
      <c r="A20" s="531"/>
      <c r="B20" s="505" t="s">
        <v>25</v>
      </c>
      <c r="C20" s="552" t="s">
        <v>6</v>
      </c>
    </row>
    <row r="21" spans="1:3" ht="54" customHeight="1" x14ac:dyDescent="0.25">
      <c r="A21" s="560" t="s">
        <v>26</v>
      </c>
      <c r="B21" s="507" t="s">
        <v>27</v>
      </c>
      <c r="C21" s="511" t="s">
        <v>22</v>
      </c>
    </row>
    <row r="22" spans="1:3" ht="28.5" customHeight="1" x14ac:dyDescent="0.25">
      <c r="A22" s="532"/>
      <c r="B22" s="506" t="s">
        <v>28</v>
      </c>
      <c r="C22" s="552" t="s">
        <v>6</v>
      </c>
    </row>
    <row r="23" spans="1:3" ht="63.75" customHeight="1" x14ac:dyDescent="0.25">
      <c r="A23" s="561" t="s">
        <v>29</v>
      </c>
      <c r="B23" s="508" t="s">
        <v>30</v>
      </c>
      <c r="C23" s="511" t="s">
        <v>22</v>
      </c>
    </row>
    <row r="24" spans="1:3" ht="91.5" customHeight="1" x14ac:dyDescent="0.25">
      <c r="A24" s="562" t="s">
        <v>31</v>
      </c>
      <c r="B24" s="509" t="s">
        <v>32</v>
      </c>
      <c r="C24" s="511" t="s">
        <v>22</v>
      </c>
    </row>
    <row r="25" spans="1:3" ht="236.25" x14ac:dyDescent="0.25">
      <c r="A25" s="563" t="s">
        <v>33</v>
      </c>
      <c r="B25" s="509" t="s">
        <v>34</v>
      </c>
      <c r="C25" s="552" t="s">
        <v>6</v>
      </c>
    </row>
  </sheetData>
  <mergeCells count="1">
    <mergeCell ref="A5:A16"/>
  </mergeCells>
  <hyperlinks>
    <hyperlink ref="A5:A8" r:id="rId1" display="Sources:  FY 2022 CMS Impact File CN / Table 1A-1E Final Rule &amp; Correcting Amendment" xr:uid="{D6ED2D54-CED5-4F1F-A509-342B41B5A976}"/>
    <hyperlink ref="A5:A13" r:id="rId2" display="Sources:  FY 2023 CMS Impact File CN / Table 1A-1E, Tables 15 &amp; 16B Final Rule &amp; Correcting Amendment" xr:uid="{2E08092C-8F54-46FB-810E-A24F4787D841}"/>
    <hyperlink ref="A17" location="'FY25 IMPACT FILE IFC-OTHER TBLS'!A1" display="'FY25 IMPACT FILE IFC-OTHER TBLS'!A1" xr:uid="{F7A92A4F-FD80-4589-A8DA-73C4260CBDF0}"/>
    <hyperlink ref="B12" location="'FY25 IMPACT FILE IFC-OTHER TBLS'!A1" display="Value Based Purchasing (VBP) Adjustment Factor (Table 16B) FY 2025   Hospital Value-Based Purchasing (VBP) " xr:uid="{D8E38C27-D8CF-4DE0-A2CB-1E82433348B6}"/>
    <hyperlink ref="A24" location="'Solvency Metric FY25-26'!A1" display="Link to Solvency Metric Calculations which contains System hospital list." xr:uid="{8FF48A79-68CD-4058-9A16-46C8383685D0}"/>
    <hyperlink ref="A5:A16" r:id="rId3" display="Sources:  FY 2025 CMS Impact File CN / Table 1A-1E, Tables 15 &amp; 16B Interim Final Action w/Comment File (IFC) and Correcting Amendment File where applicable" xr:uid="{23F27913-D6BB-4518-8F3B-DBA82E59E43D}"/>
    <hyperlink ref="A23" location="'Payer Mix 3 yr avg FY25-26'!A1" display="Remaining Medicaid Add-ons Open to All Hospitals" xr:uid="{7CCB0C2D-F5F3-42C1-B566-11ED25463CDD}"/>
    <hyperlink ref="A21" location="'Discharge 3 yr avg FY25-26'!A1" display="Link to HCRIS Discharge Data" xr:uid="{38B3B6B7-1278-448E-967F-DF28A36EB616}"/>
    <hyperlink ref="A18" location="'FY25 IMPACT FILE IFC-OTHER TBLS'!A1" display="CMS.gov Data Set:  Hospital-Acquired Condition (HAC) Reduction Program" xr:uid="{5888BAF7-C2F6-41B2-8DA5-D7DC7E7FD651}"/>
    <hyperlink ref="A25" location="'GME Add-On Posting'!A1" display="IME for Non-PPS Hospitals &amp; GME Cost Add-on" xr:uid="{1AAD739F-E7E7-4587-A24B-046E35E74E06}"/>
  </hyperlinks>
  <pageMargins left="0.7" right="0.7" top="0.75" bottom="0.75" header="0.3" footer="0.3"/>
  <pageSetup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C2DA0-24E5-4AAF-9D95-9859224F3A46}">
  <sheetPr>
    <tabColor theme="4" tint="-0.249977111117893"/>
  </sheetPr>
  <dimension ref="A1:A19"/>
  <sheetViews>
    <sheetView workbookViewId="0"/>
  </sheetViews>
  <sheetFormatPr defaultRowHeight="15" x14ac:dyDescent="0.25"/>
  <cols>
    <col min="1" max="1" width="138.85546875" style="3" customWidth="1"/>
    <col min="2" max="16384" width="9.140625" style="3"/>
  </cols>
  <sheetData>
    <row r="1" spans="1:1" ht="18.75" x14ac:dyDescent="0.3">
      <c r="A1" s="452" t="s">
        <v>703</v>
      </c>
    </row>
    <row r="2" spans="1:1" ht="15" customHeight="1" x14ac:dyDescent="0.55000000000000004">
      <c r="A2" s="453"/>
    </row>
    <row r="3" spans="1:1" s="58" customFormat="1" ht="31.5" x14ac:dyDescent="0.25">
      <c r="A3" s="455" t="s">
        <v>704</v>
      </c>
    </row>
    <row r="4" spans="1:1" s="58" customFormat="1" ht="15.75" x14ac:dyDescent="0.25">
      <c r="A4" s="455"/>
    </row>
    <row r="5" spans="1:1" s="58" customFormat="1" ht="15.75" x14ac:dyDescent="0.25">
      <c r="A5" s="458" t="s">
        <v>224</v>
      </c>
    </row>
    <row r="6" spans="1:1" s="58" customFormat="1" ht="47.25" x14ac:dyDescent="0.25">
      <c r="A6" s="455" t="s">
        <v>705</v>
      </c>
    </row>
    <row r="7" spans="1:1" s="58" customFormat="1" ht="15.75" x14ac:dyDescent="0.25">
      <c r="A7" s="456" t="s">
        <v>226</v>
      </c>
    </row>
    <row r="8" spans="1:1" s="58" customFormat="1" ht="31.5" x14ac:dyDescent="0.25">
      <c r="A8" s="455" t="s">
        <v>706</v>
      </c>
    </row>
    <row r="9" spans="1:1" s="58" customFormat="1" ht="15.75" x14ac:dyDescent="0.25"/>
    <row r="10" spans="1:1" s="462" customFormat="1" ht="15" customHeight="1" x14ac:dyDescent="0.25">
      <c r="A10" s="461" t="s">
        <v>707</v>
      </c>
    </row>
    <row r="11" spans="1:1" s="462" customFormat="1" ht="15" customHeight="1" x14ac:dyDescent="0.25">
      <c r="A11" s="463" t="s">
        <v>708</v>
      </c>
    </row>
    <row r="12" spans="1:1" s="462" customFormat="1" ht="15" customHeight="1" x14ac:dyDescent="0.25">
      <c r="A12" s="463" t="s">
        <v>709</v>
      </c>
    </row>
    <row r="13" spans="1:1" s="462" customFormat="1" ht="15.75" x14ac:dyDescent="0.25">
      <c r="A13" s="463" t="s">
        <v>710</v>
      </c>
    </row>
    <row r="14" spans="1:1" s="58" customFormat="1" ht="15" customHeight="1" x14ac:dyDescent="0.25">
      <c r="A14" s="457"/>
    </row>
    <row r="15" spans="1:1" ht="15" customHeight="1" x14ac:dyDescent="0.25">
      <c r="A15" s="450"/>
    </row>
    <row r="16" spans="1:1" ht="15" customHeight="1" x14ac:dyDescent="0.25">
      <c r="A16" s="450"/>
    </row>
    <row r="17" spans="1:1" ht="15" customHeight="1" x14ac:dyDescent="0.25">
      <c r="A17" s="450"/>
    </row>
    <row r="18" spans="1:1" ht="15" customHeight="1" x14ac:dyDescent="0.25">
      <c r="A18" s="450"/>
    </row>
    <row r="19" spans="1:1" ht="15" customHeight="1" x14ac:dyDescent="0.25">
      <c r="A19" s="454"/>
    </row>
  </sheetData>
  <hyperlinks>
    <hyperlink ref="A10" location="Characteristics!A1" display="Link to Characteristics Tab which summarizes all 3 add-ons and identifies hosp type for other add-ons" xr:uid="{38417375-A74C-4B33-A677-817FA2AAABF6}"/>
    <hyperlink ref="A11" location="'Solvency Metric FY25-26'!A1" display="Link to Solvency Metric" xr:uid="{2B6CF216-8703-4EDC-8E3A-239052A2AF7F}"/>
    <hyperlink ref="A12" location="'Discharge 3 yr avg FY25-26'!A1" display="Link to Discharge 3 yr avg" xr:uid="{8DD73C97-C1A3-42EC-AD36-0FF0A4CD2401}"/>
    <hyperlink ref="A13" location="'Payer Mix 3 yr avg FY25-26'!A1" display="Link to Payer Mix 3 yr avg" xr:uid="{59A7CDB6-A1BD-44FA-9C5F-B68CB60ACDB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F18B2-7103-4B5D-91B0-8256C831469E}">
  <sheetPr>
    <tabColor theme="8" tint="0.59999389629810485"/>
  </sheetPr>
  <dimension ref="A1:AM96"/>
  <sheetViews>
    <sheetView zoomScale="106" zoomScaleNormal="106" workbookViewId="0">
      <pane xSplit="2" ySplit="1" topLeftCell="C20" activePane="bottomRight" state="frozen"/>
      <selection pane="topRight" activeCell="M2" sqref="M2:M85"/>
      <selection pane="bottomLeft" activeCell="M2" sqref="M2:M85"/>
      <selection pane="bottomRight" activeCell="H32" sqref="H32"/>
    </sheetView>
  </sheetViews>
  <sheetFormatPr defaultRowHeight="15" x14ac:dyDescent="0.25"/>
  <cols>
    <col min="1" max="1" width="9.28515625" style="1"/>
    <col min="2" max="2" width="30.28515625" style="83" customWidth="1"/>
    <col min="3" max="3" width="13.7109375" style="42" customWidth="1"/>
    <col min="4" max="4" width="21.42578125" style="187" customWidth="1"/>
    <col min="5" max="5" width="16" style="1" customWidth="1"/>
    <col min="6" max="6" width="21.5703125" style="1" customWidth="1"/>
    <col min="7" max="7" width="16" style="1" customWidth="1"/>
    <col min="8" max="8" width="21.5703125" style="1" customWidth="1"/>
    <col min="9" max="9" width="28.42578125" style="1" customWidth="1"/>
    <col min="10" max="10" width="22.5703125" style="1" customWidth="1"/>
    <col min="11" max="11" width="13.42578125" style="42" customWidth="1"/>
    <col min="12" max="18" width="8.7109375" style="3"/>
    <col min="19" max="19" width="11.140625" style="3" bestFit="1" customWidth="1"/>
    <col min="20" max="20" width="8.85546875" style="3" bestFit="1"/>
    <col min="21" max="21" width="11.140625" style="3" bestFit="1" customWidth="1"/>
    <col min="22" max="39" width="8.7109375" style="3"/>
  </cols>
  <sheetData>
    <row r="1" spans="1:21" ht="107.85" customHeight="1" x14ac:dyDescent="0.25">
      <c r="A1" s="40" t="s">
        <v>711</v>
      </c>
      <c r="B1" s="56" t="s">
        <v>117</v>
      </c>
      <c r="C1" s="477" t="s">
        <v>712</v>
      </c>
      <c r="D1" s="477" t="s">
        <v>713</v>
      </c>
      <c r="E1" s="520" t="s">
        <v>714</v>
      </c>
      <c r="F1" s="521" t="s">
        <v>715</v>
      </c>
      <c r="G1" s="534" t="s">
        <v>716</v>
      </c>
      <c r="H1" s="535" t="s">
        <v>717</v>
      </c>
      <c r="I1" s="478" t="s">
        <v>718</v>
      </c>
      <c r="J1" s="479" t="s">
        <v>719</v>
      </c>
      <c r="K1" s="56" t="s">
        <v>720</v>
      </c>
    </row>
    <row r="2" spans="1:21" ht="15" customHeight="1" x14ac:dyDescent="0.25">
      <c r="A2" s="53">
        <v>60001</v>
      </c>
      <c r="B2" s="96" t="s">
        <v>288</v>
      </c>
      <c r="C2" s="226">
        <v>0</v>
      </c>
      <c r="D2" s="225" t="s">
        <v>289</v>
      </c>
      <c r="E2" s="132" t="str">
        <f>VLOOKUP($A2,'Payer Mix 3 yr avg FY25-26'!$B$5:$P$89,14,FALSE)</f>
        <v>2021-2023</v>
      </c>
      <c r="F2" s="132">
        <f>VLOOKUP($A2,'Payer Mix 3 yr avg FY25-26'!$B$5:$P$89,15,FALSE)</f>
        <v>0.38007884036378309</v>
      </c>
      <c r="G2" s="132" t="str">
        <f>VLOOKUP($A2,'Discharge 3 yr avg FY25-26'!$B$4:$K$88,9,FALSE)</f>
        <v>2021-2023</v>
      </c>
      <c r="H2" s="133">
        <f>VLOOKUP($A2,'Discharge 3 yr avg FY25-26'!$B$4:$K$88,10,FALSE)</f>
        <v>8188</v>
      </c>
      <c r="I2" s="227">
        <f>VLOOKUP($A2,'Solvency Metric FY25-26'!$B$2:$AG$86,32,FALSE)</f>
        <v>5.234698295304268E-2</v>
      </c>
      <c r="J2" s="228"/>
      <c r="K2" s="132" t="str">
        <f>IF('FY25 IMPACT FILE IFC-OTHER TBLS'!AI3 &gt;=16,"SCH"," ")</f>
        <v xml:space="preserve"> </v>
      </c>
      <c r="L2" s="52"/>
      <c r="M2" s="52"/>
      <c r="N2" s="52"/>
      <c r="O2" s="52"/>
      <c r="P2" s="52"/>
      <c r="Q2" s="52"/>
      <c r="R2" s="52"/>
    </row>
    <row r="3" spans="1:21" ht="15" customHeight="1" x14ac:dyDescent="0.25">
      <c r="A3" s="112">
        <v>60003</v>
      </c>
      <c r="B3" s="96" t="s">
        <v>291</v>
      </c>
      <c r="C3" s="222">
        <v>0</v>
      </c>
      <c r="D3" s="96" t="s">
        <v>292</v>
      </c>
      <c r="E3" s="132" t="str">
        <f>VLOOKUP($A3,'Payer Mix 3 yr avg FY25-26'!$B$5:$P$89,14,FALSE)</f>
        <v>2021-2023</v>
      </c>
      <c r="F3" s="132">
        <f>VLOOKUP($A3,'Payer Mix 3 yr avg FY25-26'!$B$5:$P$89,15,FALSE)</f>
        <v>0.27535392535392533</v>
      </c>
      <c r="G3" s="132" t="str">
        <f>VLOOKUP($A3,'Discharge 3 yr avg FY25-26'!$B$4:$K$88,9,FALSE)</f>
        <v>2021-2023</v>
      </c>
      <c r="H3" s="133">
        <f>VLOOKUP($A3,'Discharge 3 yr avg FY25-26'!$B$4:$K$88,10,FALSE)</f>
        <v>2922.3333333333335</v>
      </c>
      <c r="I3" s="134">
        <f>VLOOKUP($A3,'Solvency Metric FY25-26'!$B$2:$AG$86,32,FALSE)</f>
        <v>0.16548748939229285</v>
      </c>
      <c r="J3" s="192"/>
      <c r="K3" s="135" t="str">
        <f>IF('FY25 IMPACT FILE IFC-OTHER TBLS'!AI4 &gt;=16,"SCH"," ")</f>
        <v xml:space="preserve"> </v>
      </c>
      <c r="L3" s="52"/>
      <c r="M3" s="52"/>
      <c r="N3" s="52"/>
      <c r="O3" s="52"/>
      <c r="P3" s="52"/>
      <c r="Q3" s="52"/>
      <c r="R3" s="52"/>
      <c r="T3" s="85"/>
      <c r="U3" s="86"/>
    </row>
    <row r="4" spans="1:21" ht="15" customHeight="1" x14ac:dyDescent="0.25">
      <c r="A4" s="112">
        <v>60004</v>
      </c>
      <c r="B4" s="96" t="s">
        <v>294</v>
      </c>
      <c r="C4" s="222">
        <v>0</v>
      </c>
      <c r="D4" s="96" t="s">
        <v>295</v>
      </c>
      <c r="E4" s="132" t="str">
        <f>VLOOKUP($A4,'Payer Mix 3 yr avg FY25-26'!$B$5:$P$89,14,FALSE)</f>
        <v>2021-2023</v>
      </c>
      <c r="F4" s="132">
        <f>VLOOKUP($A4,'Payer Mix 3 yr avg FY25-26'!$B$5:$P$89,15,FALSE)</f>
        <v>0.34327101229577228</v>
      </c>
      <c r="G4" s="132" t="str">
        <f>VLOOKUP($A4,'Discharge 3 yr avg FY25-26'!$B$4:$K$88,9,FALSE)</f>
        <v>2021-2023</v>
      </c>
      <c r="H4" s="133">
        <f>VLOOKUP($A4,'Discharge 3 yr avg FY25-26'!$B$4:$K$88,10,FALSE)</f>
        <v>3393.6666666666665</v>
      </c>
      <c r="I4" s="134">
        <f>VLOOKUP($A4,'Solvency Metric FY25-26'!$B$2:$AG$86,32,FALSE)</f>
        <v>2.9779064282979717E-2</v>
      </c>
      <c r="J4" s="192"/>
      <c r="K4" s="135" t="str">
        <f>IF('FY25 IMPACT FILE IFC-OTHER TBLS'!AI5 &gt;=16,"SCH"," ")</f>
        <v xml:space="preserve"> </v>
      </c>
      <c r="L4" s="52"/>
      <c r="M4" s="52"/>
      <c r="N4" s="52"/>
      <c r="O4" s="52"/>
      <c r="P4" s="52"/>
      <c r="Q4" s="52"/>
      <c r="R4" s="52"/>
    </row>
    <row r="5" spans="1:21" ht="15" customHeight="1" x14ac:dyDescent="0.25">
      <c r="A5" s="112">
        <v>60006</v>
      </c>
      <c r="B5" s="96" t="s">
        <v>297</v>
      </c>
      <c r="C5" s="222">
        <v>1</v>
      </c>
      <c r="D5" s="96" t="s">
        <v>240</v>
      </c>
      <c r="E5" s="132" t="str">
        <f>VLOOKUP($A5,'Payer Mix 3 yr avg FY25-26'!$B$5:$P$89,14,FALSE)</f>
        <v>2021-2023</v>
      </c>
      <c r="F5" s="132">
        <f>VLOOKUP($A5,'Payer Mix 3 yr avg FY25-26'!$B$5:$P$89,15,FALSE)</f>
        <v>0.19298808759540623</v>
      </c>
      <c r="G5" s="132" t="str">
        <f>VLOOKUP($A5,'Discharge 3 yr avg FY25-26'!$B$4:$K$88,9,FALSE)</f>
        <v>2021-2023</v>
      </c>
      <c r="H5" s="133">
        <f>VLOOKUP($A5,'Discharge 3 yr avg FY25-26'!$B$4:$K$88,10,FALSE)</f>
        <v>2400.3333333333335</v>
      </c>
      <c r="I5" s="134">
        <f>VLOOKUP($A5,'Solvency Metric FY25-26'!$B$2:$AG$86,32,FALSE)</f>
        <v>7.1121249041462997E-2</v>
      </c>
      <c r="J5" s="192"/>
      <c r="K5" s="135" t="str">
        <f>IF('FY25 IMPACT FILE IFC-OTHER TBLS'!AI6 &gt;=16,"SCH"," ")</f>
        <v>SCH</v>
      </c>
      <c r="L5" s="52"/>
      <c r="M5" s="52"/>
      <c r="N5" s="52"/>
      <c r="O5" s="52"/>
      <c r="P5" s="52"/>
      <c r="Q5" s="52"/>
      <c r="R5" s="52"/>
      <c r="S5" s="85"/>
      <c r="T5" s="85"/>
      <c r="U5" s="85"/>
    </row>
    <row r="6" spans="1:21" x14ac:dyDescent="0.25">
      <c r="A6" s="113">
        <v>60008</v>
      </c>
      <c r="B6" s="96" t="s">
        <v>299</v>
      </c>
      <c r="C6" s="224">
        <v>1</v>
      </c>
      <c r="D6" s="96" t="s">
        <v>300</v>
      </c>
      <c r="E6" s="132" t="str">
        <f>VLOOKUP($A6,'Payer Mix 3 yr avg FY25-26'!$B$5:$P$89,14,FALSE)</f>
        <v>2021-2023</v>
      </c>
      <c r="F6" s="132">
        <f>VLOOKUP($A6,'Payer Mix 3 yr avg FY25-26'!$B$5:$P$89,15,FALSE)</f>
        <v>0.27168983903921862</v>
      </c>
      <c r="G6" s="132" t="str">
        <f>VLOOKUP($A6,'Discharge 3 yr avg FY25-26'!$B$4:$K$88,9,FALSE)</f>
        <v>2021-2023</v>
      </c>
      <c r="H6" s="133">
        <f>VLOOKUP($A6,'Discharge 3 yr avg FY25-26'!$B$4:$K$88,10,FALSE)</f>
        <v>2047.6666666666667</v>
      </c>
      <c r="I6" s="134">
        <f>VLOOKUP($A6,'Solvency Metric FY25-26'!$B$2:$AG$86,32,FALSE)</f>
        <v>7.3220267963710714E-2</v>
      </c>
      <c r="J6" s="192"/>
      <c r="K6" s="135" t="str">
        <f>IF('FY25 IMPACT FILE IFC-OTHER TBLS'!AI7 &gt;=16,"SCH"," ")</f>
        <v>SCH</v>
      </c>
      <c r="L6" s="52"/>
      <c r="M6" s="52"/>
      <c r="N6" s="52"/>
      <c r="O6" s="52"/>
      <c r="P6" s="52"/>
      <c r="Q6" s="52"/>
      <c r="R6" s="52"/>
      <c r="U6" s="87"/>
    </row>
    <row r="7" spans="1:21" ht="14.85" customHeight="1" x14ac:dyDescent="0.25">
      <c r="A7" s="112">
        <v>60009</v>
      </c>
      <c r="B7" s="96" t="s">
        <v>302</v>
      </c>
      <c r="C7" s="222">
        <v>0</v>
      </c>
      <c r="D7" s="96" t="s">
        <v>295</v>
      </c>
      <c r="E7" s="132" t="str">
        <f>VLOOKUP($A7,'Payer Mix 3 yr avg FY25-26'!$B$5:$P$89,14,FALSE)</f>
        <v>2021-2023</v>
      </c>
      <c r="F7" s="132">
        <f>VLOOKUP($A7,'Payer Mix 3 yr avg FY25-26'!$B$5:$P$89,15,FALSE)</f>
        <v>0.32192896020028844</v>
      </c>
      <c r="G7" s="132" t="str">
        <f>VLOOKUP($A7,'Discharge 3 yr avg FY25-26'!$B$4:$K$88,9,FALSE)</f>
        <v>2021-2023</v>
      </c>
      <c r="H7" s="133">
        <f>VLOOKUP($A7,'Discharge 3 yr avg FY25-26'!$B$4:$K$88,10,FALSE)</f>
        <v>15823</v>
      </c>
      <c r="I7" s="134">
        <f>VLOOKUP($A7,'Solvency Metric FY25-26'!$B$2:$AG$86,32,FALSE)</f>
        <v>2.9779064282979717E-2</v>
      </c>
      <c r="J7" s="192"/>
      <c r="K7" s="135" t="str">
        <f>IF('FY25 IMPACT FILE IFC-OTHER TBLS'!AI8 &gt;=16,"SCH"," ")</f>
        <v xml:space="preserve"> </v>
      </c>
      <c r="L7" s="52"/>
      <c r="M7" s="52"/>
      <c r="N7" s="52"/>
      <c r="O7" s="52"/>
      <c r="P7" s="52"/>
      <c r="Q7" s="52"/>
      <c r="R7" s="52"/>
      <c r="U7" s="86"/>
    </row>
    <row r="8" spans="1:21" ht="14.85" customHeight="1" x14ac:dyDescent="0.25">
      <c r="A8" s="112">
        <v>60010</v>
      </c>
      <c r="B8" s="96" t="s">
        <v>303</v>
      </c>
      <c r="C8" s="222">
        <v>0</v>
      </c>
      <c r="D8" s="96" t="s">
        <v>304</v>
      </c>
      <c r="E8" s="132" t="str">
        <f>VLOOKUP($A8,'Payer Mix 3 yr avg FY25-26'!$B$5:$P$89,14,FALSE)</f>
        <v>2021-2023</v>
      </c>
      <c r="F8" s="132">
        <f>VLOOKUP($A8,'Payer Mix 3 yr avg FY25-26'!$B$5:$P$89,15,FALSE)</f>
        <v>0.28956470958177977</v>
      </c>
      <c r="G8" s="132" t="str">
        <f>VLOOKUP($A8,'Discharge 3 yr avg FY25-26'!$B$4:$K$88,9,FALSE)</f>
        <v>2021-2023</v>
      </c>
      <c r="H8" s="133">
        <f>VLOOKUP($A8,'Discharge 3 yr avg FY25-26'!$B$4:$K$88,10,FALSE)</f>
        <v>12509</v>
      </c>
      <c r="I8" s="134">
        <f>VLOOKUP($A8,'Solvency Metric FY25-26'!$B$2:$AG$86,32,FALSE)</f>
        <v>0.14758443776894942</v>
      </c>
      <c r="J8" s="192"/>
      <c r="K8" s="135" t="str">
        <f>IF('FY25 IMPACT FILE IFC-OTHER TBLS'!AI9 &gt;=16,"SCH"," ")</f>
        <v xml:space="preserve"> </v>
      </c>
      <c r="L8" s="52"/>
      <c r="M8" s="52"/>
      <c r="N8" s="52"/>
      <c r="O8" s="52"/>
      <c r="P8" s="52"/>
      <c r="Q8" s="52"/>
      <c r="R8" s="52"/>
    </row>
    <row r="9" spans="1:21" ht="14.85" customHeight="1" x14ac:dyDescent="0.25">
      <c r="A9" s="112">
        <v>60011</v>
      </c>
      <c r="B9" s="96" t="s">
        <v>305</v>
      </c>
      <c r="C9" s="222">
        <v>0</v>
      </c>
      <c r="D9" s="96" t="s">
        <v>240</v>
      </c>
      <c r="E9" s="132" t="str">
        <f>VLOOKUP($A9,'Payer Mix 3 yr avg FY25-26'!$B$5:$P$89,14,FALSE)</f>
        <v>2021-2023</v>
      </c>
      <c r="F9" s="132">
        <f>VLOOKUP($A9,'Payer Mix 3 yr avg FY25-26'!$B$5:$P$89,15,FALSE)</f>
        <v>0.52567106835317867</v>
      </c>
      <c r="G9" s="132" t="str">
        <f>VLOOKUP($A9,'Discharge 3 yr avg FY25-26'!$B$4:$K$88,9,FALSE)</f>
        <v>2021-2023</v>
      </c>
      <c r="H9" s="133">
        <f>VLOOKUP($A9,'Discharge 3 yr avg FY25-26'!$B$4:$K$88,10,FALSE)</f>
        <v>20073</v>
      </c>
      <c r="I9" s="134">
        <f>VLOOKUP($A9,'Solvency Metric FY25-26'!$B$2:$AG$86,32,FALSE)</f>
        <v>2.7648797002917027E-2</v>
      </c>
      <c r="J9" s="192"/>
      <c r="K9" s="135" t="str">
        <f>IF('FY25 IMPACT FILE IFC-OTHER TBLS'!AI10 &gt;=16,"SCH"," ")</f>
        <v xml:space="preserve"> </v>
      </c>
      <c r="L9" s="52"/>
      <c r="M9" s="52"/>
      <c r="N9" s="52"/>
      <c r="O9" s="52"/>
      <c r="P9" s="52"/>
      <c r="Q9" s="52"/>
      <c r="R9" s="52"/>
    </row>
    <row r="10" spans="1:21" ht="14.85" customHeight="1" x14ac:dyDescent="0.25">
      <c r="A10" s="112">
        <v>60012</v>
      </c>
      <c r="B10" s="96" t="s">
        <v>306</v>
      </c>
      <c r="C10" s="222">
        <v>0</v>
      </c>
      <c r="D10" s="96" t="s">
        <v>292</v>
      </c>
      <c r="E10" s="132" t="str">
        <f>VLOOKUP($A10,'Payer Mix 3 yr avg FY25-26'!$B$5:$P$89,14,FALSE)</f>
        <v>2021-2023</v>
      </c>
      <c r="F10" s="132">
        <f>VLOOKUP($A10,'Payer Mix 3 yr avg FY25-26'!$B$5:$P$89,15,FALSE)</f>
        <v>0.27307073954983924</v>
      </c>
      <c r="G10" s="132" t="str">
        <f>VLOOKUP($A10,'Discharge 3 yr avg FY25-26'!$B$4:$K$88,9,FALSE)</f>
        <v>2021-2023</v>
      </c>
      <c r="H10" s="133">
        <f>VLOOKUP($A10,'Discharge 3 yr avg FY25-26'!$B$4:$K$88,10,FALSE)</f>
        <v>1682.6666666666667</v>
      </c>
      <c r="I10" s="134">
        <f>VLOOKUP($A10,'Solvency Metric FY25-26'!$B$2:$AG$86,32,FALSE)</f>
        <v>0.16548748939229285</v>
      </c>
      <c r="J10" s="192"/>
      <c r="K10" s="135" t="str">
        <f>IF('FY25 IMPACT FILE IFC-OTHER TBLS'!AI11 &gt;=16,"SCH"," ")</f>
        <v xml:space="preserve"> </v>
      </c>
      <c r="L10" s="52"/>
      <c r="M10" s="52"/>
      <c r="N10" s="52"/>
      <c r="O10" s="52"/>
      <c r="P10" s="52"/>
      <c r="Q10" s="52"/>
      <c r="R10" s="52"/>
    </row>
    <row r="11" spans="1:21" ht="15" customHeight="1" x14ac:dyDescent="0.25">
      <c r="A11" s="112">
        <v>60013</v>
      </c>
      <c r="B11" s="96" t="s">
        <v>308</v>
      </c>
      <c r="C11" s="222">
        <v>1</v>
      </c>
      <c r="D11" s="96" t="s">
        <v>292</v>
      </c>
      <c r="E11" s="132" t="str">
        <f>VLOOKUP($A11,'Payer Mix 3 yr avg FY25-26'!$B$5:$P$89,14,FALSE)</f>
        <v>2021-2023</v>
      </c>
      <c r="F11" s="132">
        <f>VLOOKUP($A11,'Payer Mix 3 yr avg FY25-26'!$B$5:$P$89,15,FALSE)</f>
        <v>0.2850470596560753</v>
      </c>
      <c r="G11" s="132" t="str">
        <f>VLOOKUP($A11,'Discharge 3 yr avg FY25-26'!$B$4:$K$88,9,FALSE)</f>
        <v>2021-2023</v>
      </c>
      <c r="H11" s="133">
        <f>VLOOKUP($A11,'Discharge 3 yr avg FY25-26'!$B$4:$K$88,10,FALSE)</f>
        <v>4423.666666666667</v>
      </c>
      <c r="I11" s="134">
        <f>VLOOKUP($A11,'Solvency Metric FY25-26'!$B$2:$AG$86,32,FALSE)</f>
        <v>0.20395561759980266</v>
      </c>
      <c r="J11" s="190"/>
      <c r="K11" s="135" t="str">
        <f>IF('FY25 IMPACT FILE IFC-OTHER TBLS'!AI12 &gt;=16,"SCH"," ")</f>
        <v>SCH</v>
      </c>
      <c r="L11" s="52"/>
      <c r="M11" s="52"/>
      <c r="N11" s="52"/>
      <c r="O11" s="52"/>
      <c r="P11" s="52"/>
      <c r="Q11" s="52"/>
      <c r="R11" s="52"/>
    </row>
    <row r="12" spans="1:21" x14ac:dyDescent="0.25">
      <c r="A12" s="112">
        <v>60014</v>
      </c>
      <c r="B12" s="96" t="s">
        <v>309</v>
      </c>
      <c r="C12" s="222">
        <v>0</v>
      </c>
      <c r="D12" s="96" t="s">
        <v>310</v>
      </c>
      <c r="E12" s="132" t="str">
        <f>VLOOKUP($A12,'Payer Mix 3 yr avg FY25-26'!$B$5:$P$89,14,FALSE)</f>
        <v>2021-2023</v>
      </c>
      <c r="F12" s="132">
        <f>VLOOKUP($A12,'Payer Mix 3 yr avg FY25-26'!$B$5:$P$89,15,FALSE)</f>
        <v>0.42552598409928255</v>
      </c>
      <c r="G12" s="132" t="str">
        <f>VLOOKUP($A12,'Discharge 3 yr avg FY25-26'!$B$4:$K$88,9,FALSE)</f>
        <v>2021-2023</v>
      </c>
      <c r="H12" s="133">
        <f>VLOOKUP($A12,'Discharge 3 yr avg FY25-26'!$B$4:$K$88,10,FALSE)</f>
        <v>9592.3333333333339</v>
      </c>
      <c r="I12" s="134">
        <f>VLOOKUP($A12,'Solvency Metric FY25-26'!$B$2:$AG$86,32,FALSE)</f>
        <v>0.28176141601980009</v>
      </c>
      <c r="J12" s="190"/>
      <c r="K12" s="135" t="str">
        <f>IF('FY25 IMPACT FILE IFC-OTHER TBLS'!AI13 &gt;=16,"SCH"," ")</f>
        <v xml:space="preserve"> </v>
      </c>
      <c r="L12" s="52"/>
      <c r="M12" s="52"/>
      <c r="N12" s="52"/>
      <c r="O12" s="52"/>
      <c r="P12" s="52"/>
      <c r="Q12" s="52"/>
      <c r="R12" s="52"/>
    </row>
    <row r="13" spans="1:21" x14ac:dyDescent="0.25">
      <c r="A13" s="112">
        <v>60015</v>
      </c>
      <c r="B13" s="96" t="s">
        <v>311</v>
      </c>
      <c r="C13" s="222">
        <v>0</v>
      </c>
      <c r="D13" s="96" t="s">
        <v>292</v>
      </c>
      <c r="E13" s="132" t="str">
        <f>VLOOKUP($A13,'Payer Mix 3 yr avg FY25-26'!$B$5:$P$89,14,FALSE)</f>
        <v>2021-2023</v>
      </c>
      <c r="F13" s="132">
        <f>VLOOKUP($A13,'Payer Mix 3 yr avg FY25-26'!$B$5:$P$89,15,FALSE)</f>
        <v>0.2166138608341773</v>
      </c>
      <c r="G13" s="132" t="str">
        <f>VLOOKUP($A13,'Discharge 3 yr avg FY25-26'!$B$4:$K$88,9,FALSE)</f>
        <v>2021-2023</v>
      </c>
      <c r="H13" s="133">
        <f>VLOOKUP($A13,'Discharge 3 yr avg FY25-26'!$B$4:$K$88,10,FALSE)</f>
        <v>12796</v>
      </c>
      <c r="I13" s="134">
        <f>VLOOKUP($A13,'Solvency Metric FY25-26'!$B$2:$AG$86,32,FALSE)</f>
        <v>0.16548748939229285</v>
      </c>
      <c r="J13" s="190"/>
      <c r="K13" s="135" t="str">
        <f>IF('FY25 IMPACT FILE IFC-OTHER TBLS'!AI14 &gt;=16,"SCH"," ")</f>
        <v xml:space="preserve"> </v>
      </c>
      <c r="L13" s="52"/>
      <c r="M13" s="52"/>
      <c r="N13" s="52"/>
      <c r="O13" s="52"/>
      <c r="P13" s="52"/>
      <c r="Q13" s="52"/>
      <c r="R13" s="52"/>
    </row>
    <row r="14" spans="1:21" s="33" customFormat="1" x14ac:dyDescent="0.25">
      <c r="A14" s="253">
        <v>60020</v>
      </c>
      <c r="B14" s="254" t="s">
        <v>312</v>
      </c>
      <c r="C14" s="224">
        <v>0</v>
      </c>
      <c r="D14" s="33" t="s">
        <v>304</v>
      </c>
      <c r="E14" s="132" t="str">
        <f>VLOOKUP($A14,'Payer Mix 3 yr avg FY25-26'!$B$5:$P$89,14,FALSE)</f>
        <v>2021-2023</v>
      </c>
      <c r="F14" s="132">
        <f>VLOOKUP($A14,'Payer Mix 3 yr avg FY25-26'!$B$5:$P$89,15,FALSE)</f>
        <v>0.30539367585236571</v>
      </c>
      <c r="G14" s="132" t="str">
        <f>VLOOKUP($A14,'Discharge 3 yr avg FY25-26'!$B$4:$K$88,9,FALSE)</f>
        <v>2021-2023</v>
      </c>
      <c r="H14" s="133">
        <f>VLOOKUP($A14,'Discharge 3 yr avg FY25-26'!$B$4:$K$88,10,FALSE)</f>
        <v>16381.333333333334</v>
      </c>
      <c r="I14" s="255">
        <f>VLOOKUP($A14,'Solvency Metric FY25-26'!$B$2:$AG$86,32,FALSE)</f>
        <v>0.1059577958992157</v>
      </c>
      <c r="J14" s="256"/>
      <c r="K14" s="257" t="str">
        <f>IF('FY25 IMPACT FILE IFC-OTHER TBLS'!AI15 &gt;=16,"SCH"," ")</f>
        <v xml:space="preserve"> </v>
      </c>
      <c r="L14" s="43"/>
      <c r="M14" s="43"/>
      <c r="N14" s="43"/>
      <c r="O14" s="43"/>
      <c r="P14" s="43"/>
      <c r="Q14" s="43"/>
      <c r="R14" s="43"/>
    </row>
    <row r="15" spans="1:21" x14ac:dyDescent="0.25">
      <c r="A15" s="112">
        <v>60022</v>
      </c>
      <c r="B15" s="96" t="s">
        <v>313</v>
      </c>
      <c r="C15" s="222">
        <v>0</v>
      </c>
      <c r="D15" s="96" t="s">
        <v>304</v>
      </c>
      <c r="E15" s="132" t="str">
        <f>VLOOKUP($A15,'Payer Mix 3 yr avg FY25-26'!$B$5:$P$89,14,FALSE)</f>
        <v>2021-2023</v>
      </c>
      <c r="F15" s="132">
        <f>VLOOKUP($A15,'Payer Mix 3 yr avg FY25-26'!$B$5:$P$89,15,FALSE)</f>
        <v>0.30656977939734781</v>
      </c>
      <c r="G15" s="132" t="str">
        <f>VLOOKUP($A15,'Discharge 3 yr avg FY25-26'!$B$4:$K$88,9,FALSE)</f>
        <v>2021-2023</v>
      </c>
      <c r="H15" s="133">
        <f>VLOOKUP($A15,'Discharge 3 yr avg FY25-26'!$B$4:$K$88,10,FALSE)</f>
        <v>26547</v>
      </c>
      <c r="I15" s="134">
        <f>VLOOKUP($A15,'Solvency Metric FY25-26'!$B$2:$AG$86,32,FALSE)</f>
        <v>0.1059577958992157</v>
      </c>
      <c r="J15" s="190"/>
      <c r="K15" s="135" t="str">
        <f>IF('FY25 IMPACT FILE IFC-OTHER TBLS'!AI16 &gt;=16,"SCH"," ")</f>
        <v xml:space="preserve"> </v>
      </c>
      <c r="L15" s="52"/>
      <c r="M15" s="52"/>
      <c r="N15" s="52"/>
      <c r="O15" s="52"/>
      <c r="P15" s="52"/>
      <c r="Q15" s="52"/>
      <c r="R15" s="52"/>
    </row>
    <row r="16" spans="1:21" x14ac:dyDescent="0.25">
      <c r="A16" s="112">
        <v>60023</v>
      </c>
      <c r="B16" s="96" t="s">
        <v>314</v>
      </c>
      <c r="C16" s="222">
        <v>0</v>
      </c>
      <c r="D16" s="96" t="s">
        <v>295</v>
      </c>
      <c r="E16" s="132" t="str">
        <f>VLOOKUP($A16,'Payer Mix 3 yr avg FY25-26'!$B$5:$P$89,14,FALSE)</f>
        <v>2021-2023</v>
      </c>
      <c r="F16" s="132">
        <f>VLOOKUP($A16,'Payer Mix 3 yr avg FY25-26'!$B$5:$P$89,15,FALSE)</f>
        <v>0.26842365394318196</v>
      </c>
      <c r="G16" s="132" t="str">
        <f>VLOOKUP($A16,'Discharge 3 yr avg FY25-26'!$B$4:$K$88,9,FALSE)</f>
        <v>2021-2023</v>
      </c>
      <c r="H16" s="133">
        <f>VLOOKUP($A16,'Discharge 3 yr avg FY25-26'!$B$4:$K$88,10,FALSE)</f>
        <v>11773.666666666666</v>
      </c>
      <c r="I16" s="134">
        <f>VLOOKUP($A16,'Solvency Metric FY25-26'!$B$2:$AG$86,32,FALSE)</f>
        <v>5.0786565219442519E-2</v>
      </c>
      <c r="J16" s="190"/>
      <c r="K16" s="135" t="str">
        <f>IF('FY25 IMPACT FILE IFC-OTHER TBLS'!AI17 &gt;=16,"SCH"," ")</f>
        <v>SCH</v>
      </c>
      <c r="L16" s="52"/>
      <c r="M16" s="52"/>
      <c r="N16" s="52"/>
      <c r="O16" s="52"/>
      <c r="P16" s="52"/>
      <c r="Q16" s="52"/>
      <c r="R16" s="52"/>
    </row>
    <row r="17" spans="1:18" x14ac:dyDescent="0.25">
      <c r="A17" s="112">
        <v>60024</v>
      </c>
      <c r="B17" s="96" t="s">
        <v>315</v>
      </c>
      <c r="C17" s="222">
        <v>0</v>
      </c>
      <c r="D17" s="96" t="s">
        <v>304</v>
      </c>
      <c r="E17" s="132" t="str">
        <f>VLOOKUP($A17,'Payer Mix 3 yr avg FY25-26'!$B$5:$P$89,14,FALSE)</f>
        <v>2021-2023</v>
      </c>
      <c r="F17" s="132">
        <f>VLOOKUP($A17,'Payer Mix 3 yr avg FY25-26'!$B$5:$P$89,15,FALSE)</f>
        <v>0.35328509457233848</v>
      </c>
      <c r="G17" s="132" t="str">
        <f>VLOOKUP($A17,'Discharge 3 yr avg FY25-26'!$B$4:$K$88,9,FALSE)</f>
        <v>2021-2023</v>
      </c>
      <c r="H17" s="133">
        <f>VLOOKUP($A17,'Discharge 3 yr avg FY25-26'!$B$4:$K$88,10,FALSE)</f>
        <v>32468</v>
      </c>
      <c r="I17" s="134">
        <f>VLOOKUP($A17,'Solvency Metric FY25-26'!$B$2:$AG$86,32,FALSE)</f>
        <v>0.13092922760609244</v>
      </c>
      <c r="J17" s="190"/>
      <c r="K17" s="135" t="str">
        <f>IF('FY25 IMPACT FILE IFC-OTHER TBLS'!AI18 &gt;=16,"SCH"," ")</f>
        <v xml:space="preserve"> </v>
      </c>
      <c r="L17" s="52"/>
      <c r="M17" s="52"/>
      <c r="N17" s="52"/>
      <c r="O17" s="52"/>
      <c r="P17" s="52"/>
      <c r="Q17" s="52"/>
      <c r="R17" s="52"/>
    </row>
    <row r="18" spans="1:18" x14ac:dyDescent="0.25">
      <c r="A18" s="112">
        <v>60027</v>
      </c>
      <c r="B18" s="96" t="s">
        <v>317</v>
      </c>
      <c r="C18" s="222">
        <v>0</v>
      </c>
      <c r="D18" s="96" t="s">
        <v>240</v>
      </c>
      <c r="E18" s="132" t="str">
        <f>VLOOKUP($A18,'Payer Mix 3 yr avg FY25-26'!$B$5:$P$89,14,FALSE)</f>
        <v>2021-2023</v>
      </c>
      <c r="F18" s="132">
        <f>VLOOKUP($A18,'Payer Mix 3 yr avg FY25-26'!$B$5:$P$89,15,FALSE)</f>
        <v>0.20539617688565198</v>
      </c>
      <c r="G18" s="132" t="str">
        <f>VLOOKUP($A18,'Discharge 3 yr avg FY25-26'!$B$4:$K$88,9,FALSE)</f>
        <v>2021-2023</v>
      </c>
      <c r="H18" s="133">
        <f>VLOOKUP($A18,'Discharge 3 yr avg FY25-26'!$B$4:$K$88,10,FALSE)</f>
        <v>9489.3333333333339</v>
      </c>
      <c r="I18" s="134">
        <f>VLOOKUP($A18,'Solvency Metric FY25-26'!$B$2:$AG$86,32,FALSE)</f>
        <v>4.260860332583144E-2</v>
      </c>
      <c r="J18" s="190"/>
      <c r="K18" s="135" t="str">
        <f>IF('FY25 IMPACT FILE IFC-OTHER TBLS'!AI19 &gt;=16,"SCH"," ")</f>
        <v xml:space="preserve"> </v>
      </c>
      <c r="L18" s="52"/>
      <c r="M18" s="52"/>
      <c r="N18" s="52"/>
      <c r="O18" s="52"/>
      <c r="P18" s="52"/>
      <c r="Q18" s="52"/>
      <c r="R18" s="52"/>
    </row>
    <row r="19" spans="1:18" x14ac:dyDescent="0.25">
      <c r="A19" s="112">
        <v>60028</v>
      </c>
      <c r="B19" s="96" t="s">
        <v>318</v>
      </c>
      <c r="C19" s="222">
        <v>0</v>
      </c>
      <c r="D19" s="96" t="s">
        <v>295</v>
      </c>
      <c r="E19" s="132" t="str">
        <f>VLOOKUP($A19,'Payer Mix 3 yr avg FY25-26'!$B$5:$P$89,14,FALSE)</f>
        <v>2021-2023</v>
      </c>
      <c r="F19" s="132">
        <f>VLOOKUP($A19,'Payer Mix 3 yr avg FY25-26'!$B$5:$P$89,15,FALSE)</f>
        <v>0.31757029597674724</v>
      </c>
      <c r="G19" s="132" t="str">
        <f>VLOOKUP($A19,'Discharge 3 yr avg FY25-26'!$B$4:$K$88,9,FALSE)</f>
        <v>2021-2023</v>
      </c>
      <c r="H19" s="133">
        <f>VLOOKUP($A19,'Discharge 3 yr avg FY25-26'!$B$4:$K$88,10,FALSE)</f>
        <v>16372.666666666666</v>
      </c>
      <c r="I19" s="134">
        <f>VLOOKUP($A19,'Solvency Metric FY25-26'!$B$2:$AG$86,32,FALSE)</f>
        <v>4.5999797623145482E-2</v>
      </c>
      <c r="J19" s="190"/>
      <c r="K19" s="135" t="str">
        <f>IF('FY25 IMPACT FILE IFC-OTHER TBLS'!AI20 &gt;=16,"SCH"," ")</f>
        <v xml:space="preserve"> </v>
      </c>
      <c r="L19" s="52"/>
      <c r="M19" s="52"/>
      <c r="N19" s="52"/>
      <c r="O19" s="52"/>
      <c r="P19" s="52"/>
      <c r="Q19" s="52"/>
      <c r="R19" s="52"/>
    </row>
    <row r="20" spans="1:18" x14ac:dyDescent="0.25">
      <c r="A20" s="112">
        <v>60030</v>
      </c>
      <c r="B20" s="96" t="s">
        <v>320</v>
      </c>
      <c r="C20" s="222">
        <v>0</v>
      </c>
      <c r="D20" s="96" t="s">
        <v>289</v>
      </c>
      <c r="E20" s="132" t="str">
        <f>VLOOKUP($A20,'Payer Mix 3 yr avg FY25-26'!$B$5:$P$89,14,FALSE)</f>
        <v>2021-2023</v>
      </c>
      <c r="F20" s="132">
        <f>VLOOKUP($A20,'Payer Mix 3 yr avg FY25-26'!$B$5:$P$89,15,FALSE)</f>
        <v>0.1700523446611158</v>
      </c>
      <c r="G20" s="132" t="str">
        <f>VLOOKUP($A20,'Discharge 3 yr avg FY25-26'!$B$4:$K$88,9,FALSE)</f>
        <v>2021-2023</v>
      </c>
      <c r="H20" s="133">
        <f>VLOOKUP($A20,'Discharge 3 yr avg FY25-26'!$B$4:$K$88,10,FALSE)</f>
        <v>2444.6666666666665</v>
      </c>
      <c r="I20" s="134">
        <f>VLOOKUP($A20,'Solvency Metric FY25-26'!$B$2:$AG$86,32,FALSE)</f>
        <v>5.234698295304268E-2</v>
      </c>
      <c r="J20" s="190"/>
      <c r="K20" s="135" t="str">
        <f>IF('FY25 IMPACT FILE IFC-OTHER TBLS'!AI21 &gt;=16,"SCH"," ")</f>
        <v xml:space="preserve"> </v>
      </c>
      <c r="L20" s="52"/>
      <c r="M20" s="52"/>
      <c r="N20" s="52"/>
      <c r="O20" s="52"/>
      <c r="P20" s="52"/>
      <c r="Q20" s="52"/>
      <c r="R20" s="52"/>
    </row>
    <row r="21" spans="1:18" x14ac:dyDescent="0.25">
      <c r="A21" s="112">
        <v>60031</v>
      </c>
      <c r="B21" s="96" t="s">
        <v>321</v>
      </c>
      <c r="C21" s="222">
        <v>0</v>
      </c>
      <c r="D21" s="96" t="s">
        <v>292</v>
      </c>
      <c r="E21" s="132" t="str">
        <f>VLOOKUP($A21,'Payer Mix 3 yr avg FY25-26'!$B$5:$P$89,14,FALSE)</f>
        <v>2021-2023</v>
      </c>
      <c r="F21" s="132">
        <f>VLOOKUP($A21,'Payer Mix 3 yr avg FY25-26'!$B$5:$P$89,15,FALSE)</f>
        <v>0.26459985580389328</v>
      </c>
      <c r="G21" s="132" t="str">
        <f>VLOOKUP($A21,'Discharge 3 yr avg FY25-26'!$B$4:$K$88,9,FALSE)</f>
        <v>2021-2023</v>
      </c>
      <c r="H21" s="133">
        <f>VLOOKUP($A21,'Discharge 3 yr avg FY25-26'!$B$4:$K$88,10,FALSE)</f>
        <v>24687.666666666668</v>
      </c>
      <c r="I21" s="134">
        <f>VLOOKUP($A21,'Solvency Metric FY25-26'!$B$2:$AG$86,32,FALSE)</f>
        <v>0.16548748939229285</v>
      </c>
      <c r="J21" s="190"/>
      <c r="K21" s="135" t="str">
        <f>IF('FY25 IMPACT FILE IFC-OTHER TBLS'!AI22 &gt;=16,"SCH"," ")</f>
        <v xml:space="preserve"> </v>
      </c>
      <c r="L21" s="52"/>
      <c r="M21" s="52"/>
      <c r="N21" s="52"/>
      <c r="O21" s="52"/>
      <c r="P21" s="52"/>
      <c r="Q21" s="52"/>
      <c r="R21" s="52"/>
    </row>
    <row r="22" spans="1:18" x14ac:dyDescent="0.25">
      <c r="A22" s="112">
        <v>60032</v>
      </c>
      <c r="B22" s="96" t="s">
        <v>322</v>
      </c>
      <c r="C22" s="222">
        <v>0</v>
      </c>
      <c r="D22" s="96" t="s">
        <v>310</v>
      </c>
      <c r="E22" s="132" t="str">
        <f>VLOOKUP($A22,'Payer Mix 3 yr avg FY25-26'!$B$5:$P$89,14,FALSE)</f>
        <v>2021-2023</v>
      </c>
      <c r="F22" s="132">
        <f>VLOOKUP($A22,'Payer Mix 3 yr avg FY25-26'!$B$5:$P$89,15,FALSE)</f>
        <v>0.25566117144675521</v>
      </c>
      <c r="G22" s="132" t="str">
        <f>VLOOKUP($A22,'Discharge 3 yr avg FY25-26'!$B$4:$K$88,9,FALSE)</f>
        <v>2021-2023</v>
      </c>
      <c r="H22" s="133">
        <f>VLOOKUP($A22,'Discharge 3 yr avg FY25-26'!$B$4:$K$88,10,FALSE)</f>
        <v>12435</v>
      </c>
      <c r="I22" s="134">
        <f>VLOOKUP($A22,'Solvency Metric FY25-26'!$B$2:$AG$86,32,FALSE)</f>
        <v>0.23072252047659078</v>
      </c>
      <c r="J22" s="190"/>
      <c r="K22" s="135" t="str">
        <f>IF('FY25 IMPACT FILE IFC-OTHER TBLS'!AI23 &gt;=16,"SCH"," ")</f>
        <v xml:space="preserve"> </v>
      </c>
      <c r="L22" s="52"/>
      <c r="M22" s="52"/>
      <c r="N22" s="52"/>
      <c r="O22" s="52"/>
      <c r="P22" s="52"/>
      <c r="Q22" s="52"/>
      <c r="R22" s="52"/>
    </row>
    <row r="23" spans="1:18" x14ac:dyDescent="0.25">
      <c r="A23" s="112">
        <v>60034</v>
      </c>
      <c r="B23" s="96" t="s">
        <v>323</v>
      </c>
      <c r="C23" s="222">
        <v>0</v>
      </c>
      <c r="D23" s="96" t="s">
        <v>310</v>
      </c>
      <c r="E23" s="132" t="str">
        <f>VLOOKUP($A23,'Payer Mix 3 yr avg FY25-26'!$B$5:$P$89,14,FALSE)</f>
        <v>2021-2023</v>
      </c>
      <c r="F23" s="132">
        <f>VLOOKUP($A23,'Payer Mix 3 yr avg FY25-26'!$B$5:$P$89,15,FALSE)</f>
        <v>0.25906141805591926</v>
      </c>
      <c r="G23" s="132" t="str">
        <f>VLOOKUP($A23,'Discharge 3 yr avg FY25-26'!$B$4:$K$88,9,FALSE)</f>
        <v>2021-2023</v>
      </c>
      <c r="H23" s="133">
        <f>VLOOKUP($A23,'Discharge 3 yr avg FY25-26'!$B$4:$K$88,10,FALSE)</f>
        <v>20120</v>
      </c>
      <c r="I23" s="134">
        <f>VLOOKUP($A23,'Solvency Metric FY25-26'!$B$2:$AG$86,32,FALSE)</f>
        <v>0.24484093235558846</v>
      </c>
      <c r="J23" s="190"/>
      <c r="K23" s="135" t="str">
        <f>IF('FY25 IMPACT FILE IFC-OTHER TBLS'!AI24 &gt;=16,"SCH"," ")</f>
        <v xml:space="preserve"> </v>
      </c>
      <c r="L23" s="52"/>
      <c r="M23" s="52"/>
      <c r="N23" s="52"/>
      <c r="O23" s="52"/>
      <c r="P23" s="52"/>
      <c r="Q23" s="52"/>
      <c r="R23" s="52"/>
    </row>
    <row r="24" spans="1:18" x14ac:dyDescent="0.25">
      <c r="A24" s="112">
        <v>60044</v>
      </c>
      <c r="B24" s="96" t="s">
        <v>325</v>
      </c>
      <c r="C24" s="222">
        <v>1</v>
      </c>
      <c r="D24" s="96" t="s">
        <v>292</v>
      </c>
      <c r="E24" s="132" t="str">
        <f>VLOOKUP($A24,'Payer Mix 3 yr avg FY25-26'!$B$5:$P$89,14,FALSE)</f>
        <v>2020, 2021, 2023</v>
      </c>
      <c r="F24" s="132">
        <f>VLOOKUP($A24,'Payer Mix 3 yr avg FY25-26'!$B$5:$P$89,15,FALSE)</f>
        <v>0.2175738606000458</v>
      </c>
      <c r="G24" s="132" t="str">
        <f>VLOOKUP($A24,'Discharge 3 yr avg FY25-26'!$B$4:$K$88,9,FALSE)</f>
        <v>2020, 2021, 2023</v>
      </c>
      <c r="H24" s="133">
        <f>VLOOKUP($A24,'Discharge 3 yr avg FY25-26'!$B$4:$K$88,10,FALSE)</f>
        <v>817.33333333333337</v>
      </c>
      <c r="I24" s="134">
        <f>VLOOKUP($A24,'Solvency Metric FY25-26'!$B$2:$AG$86,32,FALSE)</f>
        <v>0.16548748939229285</v>
      </c>
      <c r="J24" s="193" t="str">
        <f>VLOOKUP($A24,'Solvency Metric FY25-26'!$B$2:$AH$86,33,FALSE)</f>
        <v>Missing 2021 and 2022 data</v>
      </c>
      <c r="K24" s="135" t="str">
        <f>IF('FY25 IMPACT FILE IFC-OTHER TBLS'!AI25 &gt;=16,"SCH"," ")</f>
        <v>SCH</v>
      </c>
      <c r="L24" s="52"/>
      <c r="M24" s="52"/>
      <c r="N24" s="52"/>
      <c r="O24" s="52"/>
      <c r="P24" s="52"/>
      <c r="Q24" s="52"/>
      <c r="R24" s="52"/>
    </row>
    <row r="25" spans="1:18" x14ac:dyDescent="0.25">
      <c r="A25" s="112">
        <v>60049</v>
      </c>
      <c r="B25" s="96" t="s">
        <v>327</v>
      </c>
      <c r="C25" s="222">
        <v>1</v>
      </c>
      <c r="D25" s="96" t="s">
        <v>304</v>
      </c>
      <c r="E25" s="132" t="str">
        <f>VLOOKUP($A25,'Payer Mix 3 yr avg FY25-26'!$B$5:$P$89,14,FALSE)</f>
        <v>2021-2023</v>
      </c>
      <c r="F25" s="132">
        <f>VLOOKUP($A25,'Payer Mix 3 yr avg FY25-26'!$B$5:$P$89,15,FALSE)</f>
        <v>0.26874652842066282</v>
      </c>
      <c r="G25" s="132" t="str">
        <f>VLOOKUP($A25,'Discharge 3 yr avg FY25-26'!$B$4:$K$88,9,FALSE)</f>
        <v>2021-2023</v>
      </c>
      <c r="H25" s="133">
        <f>VLOOKUP($A25,'Discharge 3 yr avg FY25-26'!$B$4:$K$88,10,FALSE)</f>
        <v>1083.3333333333333</v>
      </c>
      <c r="I25" s="134">
        <f>VLOOKUP($A25,'Solvency Metric FY25-26'!$B$2:$AG$86,32,FALSE)</f>
        <v>0.1380822653353822</v>
      </c>
      <c r="J25" s="190"/>
      <c r="K25" s="135" t="str">
        <f>IF('FY25 IMPACT FILE IFC-OTHER TBLS'!AI26 &gt;=16,"SCH"," ")</f>
        <v>SCH</v>
      </c>
      <c r="L25" s="52"/>
      <c r="M25" s="52"/>
      <c r="N25" s="52"/>
      <c r="O25" s="52"/>
      <c r="P25" s="52"/>
      <c r="Q25" s="52"/>
      <c r="R25" s="52"/>
    </row>
    <row r="26" spans="1:18" x14ac:dyDescent="0.25">
      <c r="A26" s="112">
        <v>60054</v>
      </c>
      <c r="B26" s="96" t="s">
        <v>329</v>
      </c>
      <c r="C26" s="222">
        <v>0</v>
      </c>
      <c r="D26" s="96" t="s">
        <v>240</v>
      </c>
      <c r="E26" s="132" t="str">
        <f>VLOOKUP($A26,'Payer Mix 3 yr avg FY25-26'!$B$5:$P$89,14,FALSE)</f>
        <v>2021-2023</v>
      </c>
      <c r="F26" s="132">
        <f>VLOOKUP($A26,'Payer Mix 3 yr avg FY25-26'!$B$5:$P$89,15,FALSE)</f>
        <v>0.27162689972543408</v>
      </c>
      <c r="G26" s="132" t="str">
        <f>VLOOKUP($A26,'Discharge 3 yr avg FY25-26'!$B$4:$K$88,9,FALSE)</f>
        <v>2021-2023</v>
      </c>
      <c r="H26" s="133">
        <f>VLOOKUP($A26,'Discharge 3 yr avg FY25-26'!$B$4:$K$88,10,FALSE)</f>
        <v>3787.3333333333335</v>
      </c>
      <c r="I26" s="134">
        <f>VLOOKUP($A26,'Solvency Metric FY25-26'!$B$2:$AG$86,32,FALSE)</f>
        <v>6.1264303870022518E-2</v>
      </c>
      <c r="J26" s="190"/>
      <c r="K26" s="135" t="str">
        <f>IF('FY25 IMPACT FILE IFC-OTHER TBLS'!AI27 &gt;=16,"SCH"," ")</f>
        <v xml:space="preserve"> </v>
      </c>
      <c r="L26" s="52"/>
      <c r="M26" s="52"/>
      <c r="N26" s="52"/>
      <c r="O26" s="52"/>
      <c r="P26" s="52"/>
      <c r="Q26" s="52"/>
      <c r="R26" s="52"/>
    </row>
    <row r="27" spans="1:18" x14ac:dyDescent="0.25">
      <c r="A27" s="112">
        <v>60064</v>
      </c>
      <c r="B27" s="96" t="s">
        <v>331</v>
      </c>
      <c r="C27" s="222">
        <v>0</v>
      </c>
      <c r="D27" s="96" t="s">
        <v>332</v>
      </c>
      <c r="E27" s="132" t="str">
        <f>VLOOKUP($A27,'Payer Mix 3 yr avg FY25-26'!$B$5:$P$89,14,FALSE)</f>
        <v>2021-2023</v>
      </c>
      <c r="F27" s="132">
        <f>VLOOKUP($A27,'Payer Mix 3 yr avg FY25-26'!$B$5:$P$89,15,FALSE)</f>
        <v>0.19332632847628908</v>
      </c>
      <c r="G27" s="132" t="str">
        <f>VLOOKUP($A27,'Discharge 3 yr avg FY25-26'!$B$4:$K$88,9,FALSE)</f>
        <v>2021-2023</v>
      </c>
      <c r="H27" s="133">
        <f>VLOOKUP($A27,'Discharge 3 yr avg FY25-26'!$B$4:$K$88,10,FALSE)</f>
        <v>7843.666666666667</v>
      </c>
      <c r="I27" s="134">
        <f>VLOOKUP($A27,'Solvency Metric FY25-26'!$B$2:$AG$86,32,FALSE)</f>
        <v>0.13009696676355248</v>
      </c>
      <c r="J27" s="190"/>
      <c r="K27" s="135" t="str">
        <f>IF('FY25 IMPACT FILE IFC-OTHER TBLS'!AI28 &gt;=16,"SCH"," ")</f>
        <v xml:space="preserve"> </v>
      </c>
      <c r="L27" s="52"/>
      <c r="M27" s="52"/>
      <c r="N27" s="52"/>
      <c r="O27" s="52"/>
      <c r="P27" s="52"/>
      <c r="Q27" s="52"/>
      <c r="R27" s="52"/>
    </row>
    <row r="28" spans="1:18" x14ac:dyDescent="0.25">
      <c r="A28" s="112">
        <v>60065</v>
      </c>
      <c r="B28" s="96" t="s">
        <v>333</v>
      </c>
      <c r="C28" s="222">
        <v>0</v>
      </c>
      <c r="D28" s="96" t="s">
        <v>310</v>
      </c>
      <c r="E28" s="132" t="str">
        <f>VLOOKUP($A28,'Payer Mix 3 yr avg FY25-26'!$B$5:$P$89,14,FALSE)</f>
        <v>2021-2023</v>
      </c>
      <c r="F28" s="132">
        <f>VLOOKUP($A28,'Payer Mix 3 yr avg FY25-26'!$B$5:$P$89,15,FALSE)</f>
        <v>0.39641375373354942</v>
      </c>
      <c r="G28" s="132" t="str">
        <f>VLOOKUP($A28,'Discharge 3 yr avg FY25-26'!$B$4:$K$88,9,FALSE)</f>
        <v>2021-2023</v>
      </c>
      <c r="H28" s="133">
        <f>VLOOKUP($A28,'Discharge 3 yr avg FY25-26'!$B$4:$K$88,10,FALSE)</f>
        <v>6953.333333333333</v>
      </c>
      <c r="I28" s="134">
        <f>VLOOKUP($A28,'Solvency Metric FY25-26'!$B$2:$AG$86,32,FALSE)</f>
        <v>0.22808525115508291</v>
      </c>
      <c r="J28" s="190"/>
      <c r="K28" s="135" t="str">
        <f>IF('FY25 IMPACT FILE IFC-OTHER TBLS'!AI29 &gt;=16,"SCH"," ")</f>
        <v xml:space="preserve"> </v>
      </c>
      <c r="L28" s="52"/>
      <c r="M28" s="52"/>
      <c r="N28" s="52"/>
      <c r="O28" s="52"/>
      <c r="P28" s="52"/>
      <c r="Q28" s="52"/>
      <c r="R28" s="52"/>
    </row>
    <row r="29" spans="1:18" x14ac:dyDescent="0.25">
      <c r="A29" s="112">
        <v>60071</v>
      </c>
      <c r="B29" s="96" t="s">
        <v>335</v>
      </c>
      <c r="C29" s="222">
        <v>1</v>
      </c>
      <c r="D29" s="96" t="s">
        <v>240</v>
      </c>
      <c r="E29" s="132" t="str">
        <f>VLOOKUP($A29,'Payer Mix 3 yr avg FY25-26'!$B$5:$P$89,14,FALSE)</f>
        <v>2021-2023</v>
      </c>
      <c r="F29" s="132">
        <f>VLOOKUP($A29,'Payer Mix 3 yr avg FY25-26'!$B$5:$P$89,15,FALSE)</f>
        <v>0.20262165337290547</v>
      </c>
      <c r="G29" s="132" t="str">
        <f>VLOOKUP($A29,'Discharge 3 yr avg FY25-26'!$B$4:$K$88,9,FALSE)</f>
        <v>2021-2023</v>
      </c>
      <c r="H29" s="133">
        <f>VLOOKUP($A29,'Discharge 3 yr avg FY25-26'!$B$4:$K$88,10,FALSE)</f>
        <v>1293.6666666666667</v>
      </c>
      <c r="I29" s="134">
        <f>VLOOKUP($A29,'Solvency Metric FY25-26'!$B$2:$AG$86,32,FALSE)</f>
        <v>0.10093098100606643</v>
      </c>
      <c r="J29" s="190"/>
      <c r="K29" s="135" t="str">
        <f>IF('FY25 IMPACT FILE IFC-OTHER TBLS'!AI30 &gt;=16,"SCH"," ")</f>
        <v>SCH</v>
      </c>
      <c r="L29" s="52"/>
      <c r="M29" s="52"/>
      <c r="N29" s="52"/>
      <c r="O29" s="52"/>
      <c r="P29" s="52"/>
      <c r="Q29" s="52"/>
      <c r="R29" s="52"/>
    </row>
    <row r="30" spans="1:18" x14ac:dyDescent="0.25">
      <c r="A30" s="112">
        <v>60075</v>
      </c>
      <c r="B30" s="96" t="s">
        <v>337</v>
      </c>
      <c r="C30" s="222">
        <v>1</v>
      </c>
      <c r="D30" s="96" t="s">
        <v>240</v>
      </c>
      <c r="E30" s="132" t="str">
        <f>VLOOKUP($A30,'Payer Mix 3 yr avg FY25-26'!$B$5:$P$89,14,FALSE)</f>
        <v>2021-2023</v>
      </c>
      <c r="F30" s="132">
        <f>VLOOKUP($A30,'Payer Mix 3 yr avg FY25-26'!$B$5:$P$89,15,FALSE)</f>
        <v>0.29239638261249695</v>
      </c>
      <c r="G30" s="132" t="str">
        <f>VLOOKUP($A30,'Discharge 3 yr avg FY25-26'!$B$4:$K$88,9,FALSE)</f>
        <v>2021-2023</v>
      </c>
      <c r="H30" s="133">
        <f>VLOOKUP($A30,'Discharge 3 yr avg FY25-26'!$B$4:$K$88,10,FALSE)</f>
        <v>2944.6666666666665</v>
      </c>
      <c r="I30" s="134">
        <f>VLOOKUP($A30,'Solvency Metric FY25-26'!$B$2:$AG$86,32,FALSE)</f>
        <v>0.12161946150524808</v>
      </c>
      <c r="J30" s="190"/>
      <c r="K30" s="135" t="str">
        <f>IF('FY25 IMPACT FILE IFC-OTHER TBLS'!AI31 &gt;=16,"SCH"," ")</f>
        <v>SCH</v>
      </c>
      <c r="L30" s="52"/>
      <c r="M30" s="52"/>
      <c r="N30" s="52"/>
      <c r="O30" s="52"/>
      <c r="P30" s="52"/>
      <c r="Q30" s="52"/>
      <c r="R30" s="52"/>
    </row>
    <row r="31" spans="1:18" x14ac:dyDescent="0.25">
      <c r="A31" s="112">
        <v>60076</v>
      </c>
      <c r="B31" s="96" t="s">
        <v>339</v>
      </c>
      <c r="C31" s="222">
        <v>1</v>
      </c>
      <c r="D31" s="96" t="s">
        <v>289</v>
      </c>
      <c r="E31" s="132" t="str">
        <f>VLOOKUP($A31,'Payer Mix 3 yr avg FY25-26'!$B$5:$P$89,14,FALSE)</f>
        <v>2021-2023</v>
      </c>
      <c r="F31" s="132">
        <f>VLOOKUP($A31,'Payer Mix 3 yr avg FY25-26'!$B$5:$P$89,15,FALSE)</f>
        <v>0.27229737160453094</v>
      </c>
      <c r="G31" s="132" t="str">
        <f>VLOOKUP($A31,'Discharge 3 yr avg FY25-26'!$B$4:$K$88,9,FALSE)</f>
        <v>2021-2023</v>
      </c>
      <c r="H31" s="133">
        <f>VLOOKUP($A31,'Discharge 3 yr avg FY25-26'!$B$4:$K$88,10,FALSE)</f>
        <v>938.66666666666663</v>
      </c>
      <c r="I31" s="134">
        <f>VLOOKUP($A31,'Solvency Metric FY25-26'!$B$2:$AG$86,32,FALSE)</f>
        <v>0.12734641110458503</v>
      </c>
      <c r="J31" s="190"/>
      <c r="K31" s="135" t="str">
        <f>IF('FY25 IMPACT FILE IFC-OTHER TBLS'!AI32 &gt;=16,"SCH"," ")</f>
        <v>SCH</v>
      </c>
      <c r="L31" s="52"/>
      <c r="M31" s="52"/>
      <c r="N31" s="52"/>
      <c r="O31" s="52"/>
      <c r="P31" s="52"/>
      <c r="Q31" s="52"/>
      <c r="R31" s="52"/>
    </row>
    <row r="32" spans="1:18" x14ac:dyDescent="0.25">
      <c r="A32" s="112">
        <v>60096</v>
      </c>
      <c r="B32" s="96" t="s">
        <v>341</v>
      </c>
      <c r="C32" s="222">
        <v>1</v>
      </c>
      <c r="D32" s="96" t="s">
        <v>240</v>
      </c>
      <c r="E32" s="132" t="str">
        <f>VLOOKUP($A32,'Payer Mix 3 yr avg FY25-26'!$B$5:$P$89,14,FALSE)</f>
        <v>2021-2023</v>
      </c>
      <c r="F32" s="132">
        <f>VLOOKUP($A32,'Payer Mix 3 yr avg FY25-26'!$B$5:$P$89,15,FALSE)</f>
        <v>0.16394236590386246</v>
      </c>
      <c r="G32" s="132" t="str">
        <f>VLOOKUP($A32,'Discharge 3 yr avg FY25-26'!$B$4:$K$88,9,FALSE)</f>
        <v>2021-2023</v>
      </c>
      <c r="H32" s="133">
        <f>VLOOKUP($A32,'Discharge 3 yr avg FY25-26'!$B$4:$K$88,10,FALSE)</f>
        <v>1509.3333333333333</v>
      </c>
      <c r="I32" s="134">
        <f>VLOOKUP($A32,'Solvency Metric FY25-26'!$B$2:$AG$86,32,FALSE)</f>
        <v>3.6346547749361149E-2</v>
      </c>
      <c r="J32" s="190"/>
      <c r="K32" s="135" t="str">
        <f>IF('FY25 IMPACT FILE IFC-OTHER TBLS'!AI33 &gt;=16,"SCH"," ")</f>
        <v>SCH</v>
      </c>
      <c r="L32" s="52"/>
      <c r="M32" s="52"/>
      <c r="N32" s="52"/>
      <c r="O32" s="52"/>
      <c r="P32" s="52"/>
      <c r="Q32" s="52"/>
      <c r="R32" s="52"/>
    </row>
    <row r="33" spans="1:18" x14ac:dyDescent="0.25">
      <c r="A33" s="112">
        <v>60100</v>
      </c>
      <c r="B33" s="96" t="s">
        <v>342</v>
      </c>
      <c r="C33" s="222">
        <v>0</v>
      </c>
      <c r="D33" s="96" t="s">
        <v>310</v>
      </c>
      <c r="E33" s="132" t="str">
        <f>VLOOKUP($A33,'Payer Mix 3 yr avg FY25-26'!$B$5:$P$89,14,FALSE)</f>
        <v>2021-2023</v>
      </c>
      <c r="F33" s="132">
        <f>VLOOKUP($A33,'Payer Mix 3 yr avg FY25-26'!$B$5:$P$89,15,FALSE)</f>
        <v>0.32191927330286413</v>
      </c>
      <c r="G33" s="132" t="str">
        <f>VLOOKUP($A33,'Discharge 3 yr avg FY25-26'!$B$4:$K$88,9,FALSE)</f>
        <v>2021-2023</v>
      </c>
      <c r="H33" s="133">
        <f>VLOOKUP($A33,'Discharge 3 yr avg FY25-26'!$B$4:$K$88,10,FALSE)</f>
        <v>17208</v>
      </c>
      <c r="I33" s="134">
        <f>VLOOKUP($A33,'Solvency Metric FY25-26'!$B$2:$AG$86,32,FALSE)</f>
        <v>0.22808525115508291</v>
      </c>
      <c r="J33" s="190"/>
      <c r="K33" s="135" t="str">
        <f>IF('FY25 IMPACT FILE IFC-OTHER TBLS'!AI34 &gt;=16,"SCH"," ")</f>
        <v xml:space="preserve"> </v>
      </c>
      <c r="L33" s="52"/>
      <c r="M33" s="52"/>
      <c r="N33" s="52"/>
      <c r="O33" s="52"/>
      <c r="P33" s="52"/>
      <c r="Q33" s="52"/>
      <c r="R33" s="52"/>
    </row>
    <row r="34" spans="1:18" x14ac:dyDescent="0.25">
      <c r="A34" s="112">
        <v>60103</v>
      </c>
      <c r="B34" s="96" t="s">
        <v>344</v>
      </c>
      <c r="C34" s="222">
        <v>0</v>
      </c>
      <c r="D34" s="96" t="s">
        <v>332</v>
      </c>
      <c r="E34" s="132" t="str">
        <f>VLOOKUP($A34,'Payer Mix 3 yr avg FY25-26'!$B$5:$P$89,14,FALSE)</f>
        <v>2021-2023</v>
      </c>
      <c r="F34" s="132">
        <f>VLOOKUP($A34,'Payer Mix 3 yr avg FY25-26'!$B$5:$P$89,15,FALSE)</f>
        <v>0.34137487072331624</v>
      </c>
      <c r="G34" s="132" t="str">
        <f>VLOOKUP($A34,'Discharge 3 yr avg FY25-26'!$B$4:$K$88,9,FALSE)</f>
        <v>2021-2023</v>
      </c>
      <c r="H34" s="133">
        <f>VLOOKUP($A34,'Discharge 3 yr avg FY25-26'!$B$4:$K$88,10,FALSE)</f>
        <v>4155.666666666667</v>
      </c>
      <c r="I34" s="134">
        <f>VLOOKUP($A34,'Solvency Metric FY25-26'!$B$2:$AG$86,32,FALSE)</f>
        <v>0.20022334178614914</v>
      </c>
      <c r="J34" s="190"/>
      <c r="K34" s="135" t="str">
        <f>IF('FY25 IMPACT FILE IFC-OTHER TBLS'!AI35 &gt;=16,"SCH"," ")</f>
        <v xml:space="preserve"> </v>
      </c>
      <c r="L34" s="52"/>
      <c r="M34" s="52"/>
      <c r="N34" s="52"/>
      <c r="O34" s="52"/>
      <c r="P34" s="52"/>
      <c r="Q34" s="52"/>
      <c r="R34" s="52"/>
    </row>
    <row r="35" spans="1:18" x14ac:dyDescent="0.25">
      <c r="A35" s="112">
        <v>60104</v>
      </c>
      <c r="B35" s="96" t="s">
        <v>345</v>
      </c>
      <c r="C35" s="222">
        <v>0</v>
      </c>
      <c r="D35" s="96" t="s">
        <v>292</v>
      </c>
      <c r="E35" s="132" t="str">
        <f>VLOOKUP($A35,'Payer Mix 3 yr avg FY25-26'!$B$5:$P$89,14,FALSE)</f>
        <v>2021-2023</v>
      </c>
      <c r="F35" s="132">
        <f>VLOOKUP($A35,'Payer Mix 3 yr avg FY25-26'!$B$5:$P$89,15,FALSE)</f>
        <v>0.29431377957950033</v>
      </c>
      <c r="G35" s="132" t="str">
        <f>VLOOKUP($A35,'Discharge 3 yr avg FY25-26'!$B$4:$K$88,9,FALSE)</f>
        <v>2021-2023</v>
      </c>
      <c r="H35" s="133">
        <f>VLOOKUP($A35,'Discharge 3 yr avg FY25-26'!$B$4:$K$88,10,FALSE)</f>
        <v>7123.333333333333</v>
      </c>
      <c r="I35" s="134">
        <f>VLOOKUP($A35,'Solvency Metric FY25-26'!$B$2:$AG$86,32,FALSE)</f>
        <v>0.19626479358164553</v>
      </c>
      <c r="J35" s="190"/>
      <c r="K35" s="135" t="str">
        <f>IF('FY25 IMPACT FILE IFC-OTHER TBLS'!AI36 &gt;=16,"SCH"," ")</f>
        <v xml:space="preserve"> </v>
      </c>
      <c r="L35" s="52"/>
      <c r="M35" s="52"/>
      <c r="N35" s="52"/>
      <c r="O35" s="52"/>
      <c r="P35" s="52"/>
      <c r="Q35" s="52"/>
      <c r="R35" s="52"/>
    </row>
    <row r="36" spans="1:18" x14ac:dyDescent="0.25">
      <c r="A36" s="112">
        <v>60107</v>
      </c>
      <c r="B36" s="96" t="s">
        <v>346</v>
      </c>
      <c r="C36" s="222">
        <v>0</v>
      </c>
      <c r="D36" s="96" t="s">
        <v>240</v>
      </c>
      <c r="E36" s="132" t="str">
        <f>VLOOKUP($A36,'Payer Mix 3 yr avg FY25-26'!$B$5:$P$89,14,FALSE)</f>
        <v>2021-2023</v>
      </c>
      <c r="F36" s="132">
        <f>VLOOKUP($A36,'Payer Mix 3 yr avg FY25-26'!$B$5:$P$89,15,FALSE)</f>
        <v>0.12038404726735598</v>
      </c>
      <c r="G36" s="132" t="str">
        <f>VLOOKUP($A36,'Discharge 3 yr avg FY25-26'!$B$4:$K$88,9,FALSE)</f>
        <v>2021-2023</v>
      </c>
      <c r="H36" s="133">
        <f>VLOOKUP($A36,'Discharge 3 yr avg FY25-26'!$B$4:$K$88,10,FALSE)</f>
        <v>66</v>
      </c>
      <c r="I36" s="134">
        <f>VLOOKUP($A36,'Solvency Metric FY25-26'!$B$2:$AG$86,32,FALSE)</f>
        <v>5.1877633550731607E-3</v>
      </c>
      <c r="J36" s="190"/>
      <c r="K36" s="135" t="str">
        <f>IF('FY25 IMPACT FILE IFC-OTHER TBLS'!AI37 &gt;=16,"SCH"," ")</f>
        <v xml:space="preserve"> </v>
      </c>
      <c r="L36" s="52"/>
      <c r="M36" s="52"/>
      <c r="N36" s="52"/>
      <c r="O36" s="52"/>
      <c r="P36" s="52"/>
      <c r="Q36" s="52"/>
      <c r="R36" s="52"/>
    </row>
    <row r="37" spans="1:18" x14ac:dyDescent="0.25">
      <c r="A37" s="112">
        <v>60112</v>
      </c>
      <c r="B37" s="96" t="s">
        <v>347</v>
      </c>
      <c r="C37" s="222">
        <v>0</v>
      </c>
      <c r="D37" s="96" t="s">
        <v>310</v>
      </c>
      <c r="E37" s="132" t="str">
        <f>VLOOKUP($A37,'Payer Mix 3 yr avg FY25-26'!$B$5:$P$89,14,FALSE)</f>
        <v>2021-2023</v>
      </c>
      <c r="F37" s="132">
        <f>VLOOKUP($A37,'Payer Mix 3 yr avg FY25-26'!$B$5:$P$89,15,FALSE)</f>
        <v>0.14035850081477458</v>
      </c>
      <c r="G37" s="132" t="str">
        <f>VLOOKUP($A37,'Discharge 3 yr avg FY25-26'!$B$4:$K$88,9,FALSE)</f>
        <v>2021-2023</v>
      </c>
      <c r="H37" s="133">
        <f>VLOOKUP($A37,'Discharge 3 yr avg FY25-26'!$B$4:$K$88,10,FALSE)</f>
        <v>15743</v>
      </c>
      <c r="I37" s="134">
        <f>VLOOKUP($A37,'Solvency Metric FY25-26'!$B$2:$AG$86,32,FALSE)</f>
        <v>0.27805692720763381</v>
      </c>
      <c r="J37" s="190"/>
      <c r="K37" s="135" t="str">
        <f>IF('FY25 IMPACT FILE IFC-OTHER TBLS'!AI38 &gt;=16,"SCH"," ")</f>
        <v xml:space="preserve"> </v>
      </c>
      <c r="L37" s="52"/>
      <c r="M37" s="52"/>
      <c r="N37" s="52"/>
      <c r="O37" s="52"/>
      <c r="P37" s="52"/>
      <c r="Q37" s="52"/>
      <c r="R37" s="52"/>
    </row>
    <row r="38" spans="1:18" x14ac:dyDescent="0.25">
      <c r="A38" s="112">
        <v>60113</v>
      </c>
      <c r="B38" s="96" t="s">
        <v>349</v>
      </c>
      <c r="C38" s="222">
        <v>0</v>
      </c>
      <c r="D38" s="96" t="s">
        <v>332</v>
      </c>
      <c r="E38" s="132" t="str">
        <f>VLOOKUP($A38,'Payer Mix 3 yr avg FY25-26'!$B$5:$P$89,14,FALSE)</f>
        <v>2021-2023</v>
      </c>
      <c r="F38" s="132">
        <f>VLOOKUP($A38,'Payer Mix 3 yr avg FY25-26'!$B$5:$P$89,15,FALSE)</f>
        <v>0.16922870111179644</v>
      </c>
      <c r="G38" s="132" t="str">
        <f>VLOOKUP($A38,'Discharge 3 yr avg FY25-26'!$B$4:$K$88,9,FALSE)</f>
        <v>2021-2023</v>
      </c>
      <c r="H38" s="133">
        <f>VLOOKUP($A38,'Discharge 3 yr avg FY25-26'!$B$4:$K$88,10,FALSE)</f>
        <v>9315.6666666666661</v>
      </c>
      <c r="I38" s="134">
        <f>VLOOKUP($A38,'Solvency Metric FY25-26'!$B$2:$AG$86,32,FALSE)</f>
        <v>0.13009696676355248</v>
      </c>
      <c r="J38" s="190"/>
      <c r="K38" s="135" t="str">
        <f>IF('FY25 IMPACT FILE IFC-OTHER TBLS'!AI39 &gt;=16,"SCH"," ")</f>
        <v xml:space="preserve"> </v>
      </c>
      <c r="L38" s="52"/>
      <c r="M38" s="52"/>
      <c r="N38" s="52"/>
      <c r="O38" s="52"/>
      <c r="P38" s="52"/>
      <c r="Q38" s="52"/>
      <c r="R38" s="52"/>
    </row>
    <row r="39" spans="1:18" x14ac:dyDescent="0.25">
      <c r="A39" s="112">
        <v>60114</v>
      </c>
      <c r="B39" s="96" t="s">
        <v>351</v>
      </c>
      <c r="C39" s="222">
        <v>0</v>
      </c>
      <c r="D39" s="96" t="s">
        <v>332</v>
      </c>
      <c r="E39" s="132" t="str">
        <f>VLOOKUP($A39,'Payer Mix 3 yr avg FY25-26'!$B$5:$P$89,14,FALSE)</f>
        <v>2021-2023</v>
      </c>
      <c r="F39" s="132">
        <f>VLOOKUP($A39,'Payer Mix 3 yr avg FY25-26'!$B$5:$P$89,15,FALSE)</f>
        <v>0.18983366502948748</v>
      </c>
      <c r="G39" s="132" t="str">
        <f>VLOOKUP($A39,'Discharge 3 yr avg FY25-26'!$B$4:$K$88,9,FALSE)</f>
        <v>2021-2023</v>
      </c>
      <c r="H39" s="133">
        <f>VLOOKUP($A39,'Discharge 3 yr avg FY25-26'!$B$4:$K$88,10,FALSE)</f>
        <v>8486</v>
      </c>
      <c r="I39" s="134">
        <f>VLOOKUP($A39,'Solvency Metric FY25-26'!$B$2:$AG$86,32,FALSE)</f>
        <v>0.2270435502748987</v>
      </c>
      <c r="J39" s="190"/>
      <c r="K39" s="135" t="str">
        <f>IF('FY25 IMPACT FILE IFC-OTHER TBLS'!AI40 &gt;=16,"SCH"," ")</f>
        <v xml:space="preserve"> </v>
      </c>
      <c r="L39" s="52"/>
      <c r="M39" s="52"/>
      <c r="N39" s="52"/>
      <c r="O39" s="52"/>
      <c r="P39" s="52"/>
      <c r="Q39" s="52"/>
      <c r="R39" s="52"/>
    </row>
    <row r="40" spans="1:18" x14ac:dyDescent="0.25">
      <c r="A40" s="112">
        <v>60116</v>
      </c>
      <c r="B40" s="96" t="s">
        <v>353</v>
      </c>
      <c r="C40" s="222">
        <v>0</v>
      </c>
      <c r="D40" s="96" t="s">
        <v>295</v>
      </c>
      <c r="E40" s="132" t="str">
        <f>VLOOKUP($A40,'Payer Mix 3 yr avg FY25-26'!$B$5:$P$89,14,FALSE)</f>
        <v>2021-2023</v>
      </c>
      <c r="F40" s="132">
        <f>VLOOKUP($A40,'Payer Mix 3 yr avg FY25-26'!$B$5:$P$89,15,FALSE)</f>
        <v>0.1499573097507306</v>
      </c>
      <c r="G40" s="132" t="str">
        <f>VLOOKUP($A40,'Discharge 3 yr avg FY25-26'!$B$4:$K$88,9,FALSE)</f>
        <v>2021-2023</v>
      </c>
      <c r="H40" s="133">
        <f>VLOOKUP($A40,'Discharge 3 yr avg FY25-26'!$B$4:$K$88,10,FALSE)</f>
        <v>10599</v>
      </c>
      <c r="I40" s="134">
        <f>VLOOKUP($A40,'Solvency Metric FY25-26'!$B$2:$AG$86,32,FALSE)</f>
        <v>5.5025368666868552E-2</v>
      </c>
      <c r="J40" s="190"/>
      <c r="K40" s="135" t="str">
        <f>IF('FY25 IMPACT FILE IFC-OTHER TBLS'!AI41 &gt;=16,"SCH"," ")</f>
        <v xml:space="preserve"> </v>
      </c>
      <c r="L40" s="52"/>
      <c r="M40" s="52"/>
      <c r="N40" s="52"/>
      <c r="O40" s="52"/>
      <c r="P40" s="52"/>
      <c r="Q40" s="52"/>
      <c r="R40" s="52"/>
    </row>
    <row r="41" spans="1:18" x14ac:dyDescent="0.25">
      <c r="A41" s="112">
        <v>60117</v>
      </c>
      <c r="B41" s="96" t="s">
        <v>355</v>
      </c>
      <c r="C41" s="222">
        <v>1</v>
      </c>
      <c r="D41" s="96" t="s">
        <v>240</v>
      </c>
      <c r="E41" s="132" t="str">
        <f>VLOOKUP($A41,'Payer Mix 3 yr avg FY25-26'!$B$5:$P$89,14,FALSE)</f>
        <v>2021-2023</v>
      </c>
      <c r="F41" s="132">
        <f>VLOOKUP($A41,'Payer Mix 3 yr avg FY25-26'!$B$5:$P$89,15,FALSE)</f>
        <v>1.8305084745762711E-2</v>
      </c>
      <c r="G41" s="132" t="str">
        <f>VLOOKUP($A41,'Discharge 3 yr avg FY25-26'!$B$4:$K$88,9,FALSE)</f>
        <v>2021-2023</v>
      </c>
      <c r="H41" s="133">
        <f>VLOOKUP($A41,'Discharge 3 yr avg FY25-26'!$B$4:$K$88,10,FALSE)</f>
        <v>864</v>
      </c>
      <c r="I41" s="134">
        <f>VLOOKUP($A41,'Solvency Metric FY25-26'!$B$2:$AG$86,32,FALSE)</f>
        <v>0.1923025414345067</v>
      </c>
      <c r="J41" s="190"/>
      <c r="K41" s="135" t="str">
        <f>IF('FY25 IMPACT FILE IFC-OTHER TBLS'!AI42 &gt;=16,"SCH"," ")</f>
        <v xml:space="preserve"> </v>
      </c>
      <c r="L41" s="52"/>
      <c r="M41" s="52"/>
      <c r="N41" s="52"/>
      <c r="O41" s="52"/>
      <c r="P41" s="52"/>
      <c r="Q41" s="52"/>
      <c r="R41" s="52"/>
    </row>
    <row r="42" spans="1:18" x14ac:dyDescent="0.25">
      <c r="A42" s="112">
        <v>60118</v>
      </c>
      <c r="B42" s="96" t="s">
        <v>357</v>
      </c>
      <c r="C42" s="222">
        <v>1</v>
      </c>
      <c r="D42" s="96" t="s">
        <v>292</v>
      </c>
      <c r="E42" s="132" t="str">
        <f>VLOOKUP($A42,'Payer Mix 3 yr avg FY25-26'!$B$5:$P$89,14,FALSE)</f>
        <v>2021-2023</v>
      </c>
      <c r="F42" s="132">
        <f>VLOOKUP($A42,'Payer Mix 3 yr avg FY25-26'!$B$5:$P$89,15,FALSE)</f>
        <v>0.2873917228103946</v>
      </c>
      <c r="G42" s="132" t="str">
        <f>VLOOKUP($A42,'Discharge 3 yr avg FY25-26'!$B$4:$K$88,9,FALSE)</f>
        <v>2021-2023</v>
      </c>
      <c r="H42" s="133">
        <f>VLOOKUP($A42,'Discharge 3 yr avg FY25-26'!$B$4:$K$88,10,FALSE)</f>
        <v>1310.6666666666667</v>
      </c>
      <c r="I42" s="134">
        <f>VLOOKUP($A42,'Solvency Metric FY25-26'!$B$2:$AG$86,32,FALSE)</f>
        <v>0.36742873009142629</v>
      </c>
      <c r="J42" s="190"/>
      <c r="K42" s="135" t="str">
        <f>IF('FY25 IMPACT FILE IFC-OTHER TBLS'!AI43 &gt;=16,"SCH"," ")</f>
        <v>SCH</v>
      </c>
      <c r="L42" s="52"/>
      <c r="M42" s="52"/>
      <c r="N42" s="52"/>
      <c r="O42" s="52"/>
      <c r="P42" s="52"/>
      <c r="Q42" s="52"/>
      <c r="R42" s="52"/>
    </row>
    <row r="43" spans="1:18" x14ac:dyDescent="0.25">
      <c r="A43" s="112">
        <v>60119</v>
      </c>
      <c r="B43" s="96" t="s">
        <v>358</v>
      </c>
      <c r="C43" s="222">
        <v>0</v>
      </c>
      <c r="D43" s="96" t="s">
        <v>304</v>
      </c>
      <c r="E43" s="132" t="str">
        <f>VLOOKUP($A43,'Payer Mix 3 yr avg FY25-26'!$B$5:$P$89,14,FALSE)</f>
        <v>2021-2023</v>
      </c>
      <c r="F43" s="132">
        <f>VLOOKUP($A43,'Payer Mix 3 yr avg FY25-26'!$B$5:$P$89,15,FALSE)</f>
        <v>0.16534069350436348</v>
      </c>
      <c r="G43" s="132" t="str">
        <f>VLOOKUP($A43,'Discharge 3 yr avg FY25-26'!$B$4:$K$88,9,FALSE)</f>
        <v>2021-2023</v>
      </c>
      <c r="H43" s="133">
        <f>VLOOKUP($A43,'Discharge 3 yr avg FY25-26'!$B$4:$K$88,10,FALSE)</f>
        <v>10562.666666666666</v>
      </c>
      <c r="I43" s="134">
        <f>VLOOKUP($A43,'Solvency Metric FY25-26'!$B$2:$AG$86,32,FALSE)</f>
        <v>0.12970191377063936</v>
      </c>
      <c r="J43" s="190"/>
      <c r="K43" s="135" t="str">
        <f>IF('FY25 IMPACT FILE IFC-OTHER TBLS'!AI44 &gt;=16,"SCH"," ")</f>
        <v xml:space="preserve"> </v>
      </c>
      <c r="L43" s="52"/>
      <c r="M43" s="52"/>
      <c r="N43" s="52"/>
      <c r="O43" s="52"/>
      <c r="P43" s="52"/>
      <c r="Q43" s="52"/>
      <c r="R43" s="52"/>
    </row>
    <row r="44" spans="1:18" x14ac:dyDescent="0.25">
      <c r="A44" s="112">
        <v>60124</v>
      </c>
      <c r="B44" s="96" t="s">
        <v>360</v>
      </c>
      <c r="C44" s="222">
        <v>0</v>
      </c>
      <c r="D44" s="96" t="s">
        <v>292</v>
      </c>
      <c r="E44" s="132" t="str">
        <f>VLOOKUP($A44,'Payer Mix 3 yr avg FY25-26'!$B$5:$P$89,14,FALSE)</f>
        <v>2021-2023</v>
      </c>
      <c r="F44" s="132">
        <f>VLOOKUP($A44,'Payer Mix 3 yr avg FY25-26'!$B$5:$P$89,15,FALSE)</f>
        <v>0</v>
      </c>
      <c r="G44" s="132" t="str">
        <f>VLOOKUP($A44,'Discharge 3 yr avg FY25-26'!$B$4:$K$88,9,FALSE)</f>
        <v>2021-2023</v>
      </c>
      <c r="H44" s="133">
        <f>VLOOKUP($A44,'Discharge 3 yr avg FY25-26'!$B$4:$K$88,10,FALSE)</f>
        <v>1137.6666666666667</v>
      </c>
      <c r="I44" s="134">
        <f>VLOOKUP($A44,'Solvency Metric FY25-26'!$B$2:$AG$86,32,FALSE)</f>
        <v>0.39174777215001244</v>
      </c>
      <c r="J44" s="190"/>
      <c r="K44" s="135" t="str">
        <f>IF('FY25 IMPACT FILE IFC-OTHER TBLS'!AI45 &gt;=16,"SCH"," ")</f>
        <v xml:space="preserve"> </v>
      </c>
      <c r="L44" s="52"/>
      <c r="M44" s="52"/>
      <c r="N44" s="52"/>
      <c r="O44" s="52"/>
      <c r="P44" s="52"/>
      <c r="Q44" s="52"/>
      <c r="R44" s="52"/>
    </row>
    <row r="45" spans="1:18" x14ac:dyDescent="0.25">
      <c r="A45" s="112">
        <v>60125</v>
      </c>
      <c r="B45" s="96" t="s">
        <v>362</v>
      </c>
      <c r="C45" s="222">
        <v>0</v>
      </c>
      <c r="D45" s="96" t="s">
        <v>332</v>
      </c>
      <c r="E45" s="132" t="str">
        <f>VLOOKUP($A45,'Payer Mix 3 yr avg FY25-26'!$B$5:$P$89,14,FALSE)</f>
        <v>2021-2023</v>
      </c>
      <c r="F45" s="132">
        <f>VLOOKUP($A45,'Payer Mix 3 yr avg FY25-26'!$B$5:$P$89,15,FALSE)</f>
        <v>0.16532591853628509</v>
      </c>
      <c r="G45" s="132" t="str">
        <f>VLOOKUP($A45,'Discharge 3 yr avg FY25-26'!$B$4:$K$88,9,FALSE)</f>
        <v>2021-2023</v>
      </c>
      <c r="H45" s="133">
        <f>VLOOKUP($A45,'Discharge 3 yr avg FY25-26'!$B$4:$K$88,10,FALSE)</f>
        <v>4277.333333333333</v>
      </c>
      <c r="I45" s="134">
        <f>VLOOKUP($A45,'Solvency Metric FY25-26'!$B$2:$AG$86,32,FALSE)</f>
        <v>0.13075697078490134</v>
      </c>
      <c r="J45" s="190"/>
      <c r="K45" s="135" t="str">
        <f>IF('FY25 IMPACT FILE IFC-OTHER TBLS'!AI46 &gt;=16,"SCH"," ")</f>
        <v xml:space="preserve"> </v>
      </c>
      <c r="L45" s="52"/>
      <c r="M45" s="52"/>
      <c r="N45" s="52"/>
      <c r="O45" s="52"/>
      <c r="P45" s="52"/>
      <c r="Q45" s="52"/>
      <c r="R45" s="52"/>
    </row>
    <row r="46" spans="1:18" x14ac:dyDescent="0.25">
      <c r="A46" s="112">
        <v>60126</v>
      </c>
      <c r="B46" s="96" t="s">
        <v>364</v>
      </c>
      <c r="C46" s="222">
        <v>0</v>
      </c>
      <c r="D46" s="96" t="s">
        <v>289</v>
      </c>
      <c r="E46" s="132" t="str">
        <f>VLOOKUP($A46,'Payer Mix 3 yr avg FY25-26'!$B$5:$P$89,14,FALSE)</f>
        <v>2021-2023</v>
      </c>
      <c r="F46" s="132">
        <f>VLOOKUP($A46,'Payer Mix 3 yr avg FY25-26'!$B$5:$P$89,15,FALSE)</f>
        <v>0.34834342714641964</v>
      </c>
      <c r="G46" s="132" t="str">
        <f>VLOOKUP($A46,'Discharge 3 yr avg FY25-26'!$B$4:$K$88,9,FALSE)</f>
        <v>2021-2023</v>
      </c>
      <c r="H46" s="133">
        <f>VLOOKUP($A46,'Discharge 3 yr avg FY25-26'!$B$4:$K$88,10,FALSE)</f>
        <v>1378.6666666666667</v>
      </c>
      <c r="I46" s="134">
        <f>VLOOKUP($A46,'Solvency Metric FY25-26'!$B$2:$AG$86,32,FALSE)</f>
        <v>0.12035032458219896</v>
      </c>
      <c r="J46" s="190"/>
      <c r="K46" s="135" t="str">
        <f>IF('FY25 IMPACT FILE IFC-OTHER TBLS'!AI47 &gt;=16,"SCH"," ")</f>
        <v xml:space="preserve"> </v>
      </c>
      <c r="L46" s="52"/>
      <c r="M46" s="52"/>
      <c r="N46" s="52"/>
      <c r="O46" s="52"/>
      <c r="P46" s="52"/>
      <c r="Q46" s="52"/>
      <c r="R46" s="52"/>
    </row>
    <row r="47" spans="1:18" x14ac:dyDescent="0.25">
      <c r="A47" s="112">
        <v>60128</v>
      </c>
      <c r="B47" s="96" t="s">
        <v>366</v>
      </c>
      <c r="C47" s="222">
        <v>0</v>
      </c>
      <c r="D47" s="96" t="s">
        <v>304</v>
      </c>
      <c r="E47" s="132" t="str">
        <f>VLOOKUP($A47,'Payer Mix 3 yr avg FY25-26'!$B$5:$P$89,14,FALSE)</f>
        <v>2021-2023</v>
      </c>
      <c r="F47" s="132">
        <f>VLOOKUP($A47,'Payer Mix 3 yr avg FY25-26'!$B$5:$P$89,15,FALSE)</f>
        <v>0.24271458597640644</v>
      </c>
      <c r="G47" s="132" t="str">
        <f>VLOOKUP($A47,'Discharge 3 yr avg FY25-26'!$B$4:$K$88,9,FALSE)</f>
        <v>2021-2023</v>
      </c>
      <c r="H47" s="133">
        <f>VLOOKUP($A47,'Discharge 3 yr avg FY25-26'!$B$4:$K$88,10,FALSE)</f>
        <v>4205.666666666667</v>
      </c>
      <c r="I47" s="134">
        <f>VLOOKUP($A47,'Solvency Metric FY25-26'!$B$2:$AG$86,32,FALSE)</f>
        <v>0.1059577958992157</v>
      </c>
      <c r="J47" s="190"/>
      <c r="K47" s="135" t="str">
        <f>IF('FY25 IMPACT FILE IFC-OTHER TBLS'!AI48 &gt;=16,"SCH"," ")</f>
        <v xml:space="preserve"> </v>
      </c>
      <c r="L47" s="52"/>
      <c r="M47" s="52"/>
      <c r="N47" s="52"/>
      <c r="O47" s="52"/>
      <c r="P47" s="52"/>
      <c r="Q47" s="52"/>
      <c r="R47" s="52"/>
    </row>
    <row r="48" spans="1:18" x14ac:dyDescent="0.25">
      <c r="A48" s="112">
        <v>60129</v>
      </c>
      <c r="B48" s="96" t="s">
        <v>367</v>
      </c>
      <c r="C48" s="222">
        <v>0</v>
      </c>
      <c r="D48" s="96" t="s">
        <v>304</v>
      </c>
      <c r="E48" s="132" t="str">
        <f>VLOOKUP($A48,'Payer Mix 3 yr avg FY25-26'!$B$5:$P$89,14,FALSE)</f>
        <v>2021-2023</v>
      </c>
      <c r="F48" s="132">
        <f>VLOOKUP($A48,'Payer Mix 3 yr avg FY25-26'!$B$5:$P$89,15,FALSE)</f>
        <v>0.3305849873153261</v>
      </c>
      <c r="G48" s="132" t="str">
        <f>VLOOKUP($A48,'Discharge 3 yr avg FY25-26'!$B$4:$K$88,9,FALSE)</f>
        <v>2021-2023</v>
      </c>
      <c r="H48" s="133">
        <f>VLOOKUP($A48,'Discharge 3 yr avg FY25-26'!$B$4:$K$88,10,FALSE)</f>
        <v>1065.3333333333333</v>
      </c>
      <c r="I48" s="134">
        <f>VLOOKUP($A48,'Solvency Metric FY25-26'!$B$2:$AG$86,32,FALSE)</f>
        <v>0.1059577958992157</v>
      </c>
      <c r="J48" s="190"/>
      <c r="K48" s="135" t="str">
        <f>IF('FY25 IMPACT FILE IFC-OTHER TBLS'!AI49 &gt;=16,"SCH"," ")</f>
        <v xml:space="preserve"> </v>
      </c>
      <c r="L48" s="52"/>
      <c r="M48" s="52"/>
      <c r="N48" s="52"/>
      <c r="O48" s="52"/>
      <c r="P48" s="52"/>
      <c r="Q48" s="52"/>
      <c r="R48" s="52"/>
    </row>
    <row r="49" spans="1:39" x14ac:dyDescent="0.25">
      <c r="A49" s="112">
        <v>60130</v>
      </c>
      <c r="B49" s="96" t="s">
        <v>369</v>
      </c>
      <c r="C49" s="222">
        <v>0</v>
      </c>
      <c r="D49" s="96" t="s">
        <v>304</v>
      </c>
      <c r="E49" s="132" t="str">
        <f>VLOOKUP($A49,'Payer Mix 3 yr avg FY25-26'!$B$5:$P$89,14,FALSE)</f>
        <v>2021-2023</v>
      </c>
      <c r="F49" s="132">
        <f>VLOOKUP($A49,'Payer Mix 3 yr avg FY25-26'!$B$5:$P$89,15,FALSE)</f>
        <v>0.20751221155465724</v>
      </c>
      <c r="G49" s="132" t="str">
        <f>VLOOKUP($A49,'Discharge 3 yr avg FY25-26'!$B$4:$K$88,9,FALSE)</f>
        <v>2021-2023</v>
      </c>
      <c r="H49" s="133">
        <f>VLOOKUP($A49,'Discharge 3 yr avg FY25-26'!$B$4:$K$88,10,FALSE)</f>
        <v>765.66666666666663</v>
      </c>
      <c r="I49" s="134">
        <f>VLOOKUP($A49,'Solvency Metric FY25-26'!$B$2:$AG$86,32,FALSE)</f>
        <v>0.1059577958992157</v>
      </c>
      <c r="J49" s="190"/>
      <c r="K49" s="135" t="str">
        <f>IF('FY25 IMPACT FILE IFC-OTHER TBLS'!AI50 &gt;=16,"SCH"," ")</f>
        <v xml:space="preserve"> </v>
      </c>
      <c r="L49" s="52"/>
      <c r="M49" s="52"/>
      <c r="N49" s="52"/>
      <c r="O49" s="52"/>
      <c r="P49" s="52"/>
      <c r="Q49" s="52"/>
      <c r="R49" s="52"/>
    </row>
    <row r="50" spans="1:39" x14ac:dyDescent="0.25">
      <c r="A50" s="112">
        <v>60131</v>
      </c>
      <c r="B50" s="96" t="s">
        <v>371</v>
      </c>
      <c r="C50" s="222">
        <v>0</v>
      </c>
      <c r="D50" s="96" t="s">
        <v>304</v>
      </c>
      <c r="E50" s="132" t="str">
        <f>VLOOKUP($A50,'Payer Mix 3 yr avg FY25-26'!$B$5:$P$89,14,FALSE)</f>
        <v>2021-2023</v>
      </c>
      <c r="F50" s="132">
        <f>VLOOKUP($A50,'Payer Mix 3 yr avg FY25-26'!$B$5:$P$89,15,FALSE)</f>
        <v>0.24812561889942</v>
      </c>
      <c r="G50" s="132" t="str">
        <f>VLOOKUP($A50,'Discharge 3 yr avg FY25-26'!$B$4:$K$88,9,FALSE)</f>
        <v>2021-2023</v>
      </c>
      <c r="H50" s="133">
        <f>VLOOKUP($A50,'Discharge 3 yr avg FY25-26'!$B$4:$K$88,10,FALSE)</f>
        <v>3505.6666666666665</v>
      </c>
      <c r="I50" s="134">
        <f>VLOOKUP($A50,'Solvency Metric FY25-26'!$B$2:$AG$86,32,FALSE)</f>
        <v>0.1059577958992157</v>
      </c>
      <c r="J50" s="190"/>
      <c r="K50" s="135" t="str">
        <f>IF('FY25 IMPACT FILE IFC-OTHER TBLS'!AI51 &gt;=16,"SCH"," ")</f>
        <v xml:space="preserve"> </v>
      </c>
    </row>
    <row r="51" spans="1:39" x14ac:dyDescent="0.25">
      <c r="A51" s="112">
        <v>60132</v>
      </c>
      <c r="B51" s="96" t="s">
        <v>373</v>
      </c>
      <c r="C51" s="222">
        <v>0</v>
      </c>
      <c r="D51" s="96" t="s">
        <v>304</v>
      </c>
      <c r="E51" s="132" t="str">
        <f>VLOOKUP($A51,'Payer Mix 3 yr avg FY25-26'!$B$5:$P$89,14,FALSE)</f>
        <v>2021-2023</v>
      </c>
      <c r="F51" s="132">
        <f>VLOOKUP($A51,'Payer Mix 3 yr avg FY25-26'!$B$5:$P$89,15,FALSE)</f>
        <v>0.15150917859160851</v>
      </c>
      <c r="G51" s="132" t="str">
        <f>VLOOKUP($A51,'Discharge 3 yr avg FY25-26'!$B$4:$K$88,9,FALSE)</f>
        <v>2021-2023</v>
      </c>
      <c r="H51" s="133">
        <f>VLOOKUP($A51,'Discharge 3 yr avg FY25-26'!$B$4:$K$88,10,FALSE)</f>
        <v>5333</v>
      </c>
      <c r="I51" s="134">
        <f>VLOOKUP($A51,'Solvency Metric FY25-26'!$B$2:$AG$86,32,FALSE)</f>
        <v>0.1059577958992157</v>
      </c>
      <c r="J51" s="190"/>
      <c r="K51" s="135" t="str">
        <f>IF('FY25 IMPACT FILE IFC-OTHER TBLS'!AI52 &gt;=16,"SCH"," ")</f>
        <v xml:space="preserve"> </v>
      </c>
    </row>
    <row r="52" spans="1:39" s="54" customFormat="1" ht="32.25" customHeight="1" x14ac:dyDescent="0.25">
      <c r="A52" s="214">
        <v>60133</v>
      </c>
      <c r="B52" s="209" t="s">
        <v>375</v>
      </c>
      <c r="C52" s="208">
        <v>0</v>
      </c>
      <c r="D52" s="209" t="s">
        <v>376</v>
      </c>
      <c r="E52" s="493" t="str">
        <f>VLOOKUP($A52,'Payer Mix 3 yr avg FY25-26'!$B$5:$P$89,14,FALSE)</f>
        <v>NA</v>
      </c>
      <c r="F52" s="493" t="str">
        <f>VLOOKUP($A52,'Payer Mix 3 yr avg FY25-26'!$B$5:$P$89,15,FALSE)</f>
        <v>NA</v>
      </c>
      <c r="G52" s="493" t="str">
        <f>VLOOKUP($A52,'Discharge 3 yr avg FY25-26'!$B$4:$K$88,9,FALSE)</f>
        <v>NA</v>
      </c>
      <c r="H52" s="499" t="str">
        <f>VLOOKUP($A52,'Discharge 3 yr avg FY25-26'!$B$4:$K$88,10,FALSE)</f>
        <v>NA</v>
      </c>
      <c r="I52" s="210">
        <f>VLOOKUP($A52,'Payer Mix 3 yr avg FY25-26'!$B$5:$N$89,13,FALSE)</f>
        <v>0</v>
      </c>
      <c r="J52" s="211" t="str">
        <f>VLOOKUP($A52,'Solvency Metric FY25-26'!$B$2:$AH$86,33,FALSE)</f>
        <v>New Hospital, system metric available</v>
      </c>
      <c r="K52" s="212" t="s">
        <v>377</v>
      </c>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row>
    <row r="53" spans="1:39" x14ac:dyDescent="0.25">
      <c r="A53" s="112">
        <v>61300</v>
      </c>
      <c r="B53" s="96" t="s">
        <v>379</v>
      </c>
      <c r="C53" s="222">
        <v>1</v>
      </c>
      <c r="D53" s="96"/>
      <c r="E53" s="132" t="str">
        <f>VLOOKUP($A53,'Payer Mix 3 yr avg FY25-26'!$B$5:$P$89,14,FALSE)</f>
        <v>2021-2023</v>
      </c>
      <c r="F53" s="132">
        <f>VLOOKUP($A53,'Payer Mix 3 yr avg FY25-26'!$B$5:$P$89,15,FALSE)</f>
        <v>0.51119766309639725</v>
      </c>
      <c r="G53" s="132" t="str">
        <f>VLOOKUP($A53,'Discharge 3 yr avg FY25-26'!$B$4:$K$88,9,FALSE)</f>
        <v>2021-2023</v>
      </c>
      <c r="H53" s="133">
        <f>VLOOKUP($A53,'Discharge 3 yr avg FY25-26'!$B$4:$K$88,10,FALSE)</f>
        <v>36.666666666666664</v>
      </c>
      <c r="I53" s="134">
        <f>VLOOKUP($A53,'Solvency Metric FY25-26'!$B$2:$AG$86,32,FALSE)</f>
        <v>8.2079414865323993E-3</v>
      </c>
      <c r="J53" s="190"/>
      <c r="K53" s="135" t="s">
        <v>721</v>
      </c>
    </row>
    <row r="54" spans="1:39" x14ac:dyDescent="0.25">
      <c r="A54" s="112">
        <v>61301</v>
      </c>
      <c r="B54" s="96" t="s">
        <v>381</v>
      </c>
      <c r="C54" s="222">
        <v>1</v>
      </c>
      <c r="D54" s="96"/>
      <c r="E54" s="132" t="str">
        <f>VLOOKUP($A54,'Payer Mix 3 yr avg FY25-26'!$B$5:$P$89,14,FALSE)</f>
        <v>2021-2023</v>
      </c>
      <c r="F54" s="132">
        <f>VLOOKUP($A54,'Payer Mix 3 yr avg FY25-26'!$B$5:$P$89,15,FALSE)</f>
        <v>9.0600226500566247E-2</v>
      </c>
      <c r="G54" s="132" t="str">
        <f>VLOOKUP($A54,'Discharge 3 yr avg FY25-26'!$B$4:$K$88,9,FALSE)</f>
        <v>2021-2023</v>
      </c>
      <c r="H54" s="133">
        <f>VLOOKUP($A54,'Discharge 3 yr avg FY25-26'!$B$4:$K$88,10,FALSE)</f>
        <v>603.66666666666663</v>
      </c>
      <c r="I54" s="134">
        <f>VLOOKUP($A54,'Solvency Metric FY25-26'!$B$2:$AG$86,32,FALSE)</f>
        <v>1.2328549551959471E-2</v>
      </c>
      <c r="J54" s="190"/>
      <c r="K54" s="135" t="s">
        <v>721</v>
      </c>
    </row>
    <row r="55" spans="1:39" x14ac:dyDescent="0.25">
      <c r="A55" s="112">
        <v>61302</v>
      </c>
      <c r="B55" s="96" t="s">
        <v>383</v>
      </c>
      <c r="C55" s="222">
        <v>0</v>
      </c>
      <c r="D55" s="96"/>
      <c r="E55" s="132" t="str">
        <f>VLOOKUP($A55,'Payer Mix 3 yr avg FY25-26'!$B$5:$P$89,14,FALSE)</f>
        <v>2021-2023</v>
      </c>
      <c r="F55" s="132">
        <f>VLOOKUP($A55,'Payer Mix 3 yr avg FY25-26'!$B$5:$P$89,15,FALSE)</f>
        <v>1.9552120040923042E-2</v>
      </c>
      <c r="G55" s="132" t="str">
        <f>VLOOKUP($A55,'Discharge 3 yr avg FY25-26'!$B$4:$K$88,9,FALSE)</f>
        <v>2021-2023</v>
      </c>
      <c r="H55" s="133">
        <f>VLOOKUP($A55,'Discharge 3 yr avg FY25-26'!$B$4:$K$88,10,FALSE)</f>
        <v>212</v>
      </c>
      <c r="I55" s="134">
        <f>VLOOKUP($A55,'Solvency Metric FY25-26'!$B$2:$AG$86,32,FALSE)</f>
        <v>8.0411628638462893E-2</v>
      </c>
      <c r="J55" s="190"/>
      <c r="K55" s="135" t="s">
        <v>721</v>
      </c>
    </row>
    <row r="56" spans="1:39" x14ac:dyDescent="0.25">
      <c r="A56" s="112">
        <v>61303</v>
      </c>
      <c r="B56" s="96" t="s">
        <v>385</v>
      </c>
      <c r="C56" s="222">
        <v>1</v>
      </c>
      <c r="D56" s="96" t="s">
        <v>289</v>
      </c>
      <c r="E56" s="132" t="str">
        <f>VLOOKUP($A56,'Payer Mix 3 yr avg FY25-26'!$B$5:$P$89,14,FALSE)</f>
        <v>2021-2023</v>
      </c>
      <c r="F56" s="132">
        <f>VLOOKUP($A56,'Payer Mix 3 yr avg FY25-26'!$B$5:$P$89,15,FALSE)</f>
        <v>0.19203899268887084</v>
      </c>
      <c r="G56" s="132" t="str">
        <f>VLOOKUP($A56,'Discharge 3 yr avg FY25-26'!$B$4:$K$88,9,FALSE)</f>
        <v>2021-2023</v>
      </c>
      <c r="H56" s="133">
        <f>VLOOKUP($A56,'Discharge 3 yr avg FY25-26'!$B$4:$K$88,10,FALSE)</f>
        <v>493.66666666666669</v>
      </c>
      <c r="I56" s="134">
        <f>VLOOKUP($A56,'Solvency Metric FY25-26'!$B$2:$AG$86,32,FALSE)</f>
        <v>9.6085379442658006E-2</v>
      </c>
      <c r="J56" s="190"/>
      <c r="K56" s="135" t="s">
        <v>721</v>
      </c>
    </row>
    <row r="57" spans="1:39" x14ac:dyDescent="0.25">
      <c r="A57" s="112">
        <v>61304</v>
      </c>
      <c r="B57" s="96" t="s">
        <v>387</v>
      </c>
      <c r="C57" s="222">
        <v>1</v>
      </c>
      <c r="D57" s="96"/>
      <c r="E57" s="132" t="str">
        <f>VLOOKUP($A57,'Payer Mix 3 yr avg FY25-26'!$B$5:$P$89,14,FALSE)</f>
        <v>2021-2023</v>
      </c>
      <c r="F57" s="132">
        <f>VLOOKUP($A57,'Payer Mix 3 yr avg FY25-26'!$B$5:$P$89,15,FALSE)</f>
        <v>0.59189200996024638</v>
      </c>
      <c r="G57" s="132" t="str">
        <f>VLOOKUP($A57,'Discharge 3 yr avg FY25-26'!$B$4:$K$88,9,FALSE)</f>
        <v>2021-2023</v>
      </c>
      <c r="H57" s="133">
        <f>VLOOKUP($A57,'Discharge 3 yr avg FY25-26'!$B$4:$K$88,10,FALSE)</f>
        <v>78.333333333333329</v>
      </c>
      <c r="I57" s="134">
        <f>VLOOKUP($A57,'Solvency Metric FY25-26'!$B$2:$AG$86,32,FALSE)</f>
        <v>7.5180829271614277E-2</v>
      </c>
      <c r="J57" s="190"/>
      <c r="K57" s="135" t="s">
        <v>721</v>
      </c>
    </row>
    <row r="58" spans="1:39" x14ac:dyDescent="0.25">
      <c r="A58" s="112">
        <v>61305</v>
      </c>
      <c r="B58" s="96" t="s">
        <v>389</v>
      </c>
      <c r="C58" s="222">
        <v>1</v>
      </c>
      <c r="D58" s="96"/>
      <c r="E58" s="132" t="str">
        <f>VLOOKUP($A58,'Payer Mix 3 yr avg FY25-26'!$B$5:$P$89,14,FALSE)</f>
        <v>2021-2023</v>
      </c>
      <c r="F58" s="132">
        <f>VLOOKUP($A58,'Payer Mix 3 yr avg FY25-26'!$B$5:$P$89,15,FALSE)</f>
        <v>3.2385466034755131E-2</v>
      </c>
      <c r="G58" s="132" t="str">
        <f>VLOOKUP($A58,'Discharge 3 yr avg FY25-26'!$B$4:$K$88,9,FALSE)</f>
        <v>2021-2023</v>
      </c>
      <c r="H58" s="133">
        <f>VLOOKUP($A58,'Discharge 3 yr avg FY25-26'!$B$4:$K$88,10,FALSE)</f>
        <v>118</v>
      </c>
      <c r="I58" s="134">
        <f>VLOOKUP($A58,'Solvency Metric FY25-26'!$B$2:$AG$86,32,FALSE)</f>
        <v>3.6414776949351982E-2</v>
      </c>
      <c r="J58" s="190"/>
      <c r="K58" s="135" t="s">
        <v>721</v>
      </c>
    </row>
    <row r="59" spans="1:39" x14ac:dyDescent="0.25">
      <c r="A59" s="112">
        <v>61306</v>
      </c>
      <c r="B59" s="96" t="s">
        <v>391</v>
      </c>
      <c r="C59" s="222">
        <v>1</v>
      </c>
      <c r="D59" s="96"/>
      <c r="E59" s="132" t="str">
        <f>VLOOKUP($A59,'Payer Mix 3 yr avg FY25-26'!$B$5:$P$89,14,FALSE)</f>
        <v>2021-2023</v>
      </c>
      <c r="F59" s="132">
        <f>VLOOKUP($A59,'Payer Mix 3 yr avg FY25-26'!$B$5:$P$89,15,FALSE)</f>
        <v>6.5573770491803282E-2</v>
      </c>
      <c r="G59" s="132" t="str">
        <f>VLOOKUP($A59,'Discharge 3 yr avg FY25-26'!$B$4:$K$88,9,FALSE)</f>
        <v>2021-2023</v>
      </c>
      <c r="H59" s="133">
        <f>VLOOKUP($A59,'Discharge 3 yr avg FY25-26'!$B$4:$K$88,10,FALSE)</f>
        <v>213.33333333333334</v>
      </c>
      <c r="I59" s="134">
        <f>VLOOKUP($A59,'Solvency Metric FY25-26'!$B$2:$AG$86,32,FALSE)</f>
        <v>-6.5544038294733334E-2</v>
      </c>
      <c r="J59" s="190"/>
      <c r="K59" s="135" t="s">
        <v>721</v>
      </c>
    </row>
    <row r="60" spans="1:39" x14ac:dyDescent="0.25">
      <c r="A60" s="112">
        <v>61307</v>
      </c>
      <c r="B60" s="96" t="s">
        <v>393</v>
      </c>
      <c r="C60" s="222">
        <v>1</v>
      </c>
      <c r="D60" s="96"/>
      <c r="E60" s="132" t="str">
        <f>VLOOKUP($A60,'Payer Mix 3 yr avg FY25-26'!$B$5:$P$89,14,FALSE)</f>
        <v>2021-2023</v>
      </c>
      <c r="F60" s="132">
        <f>VLOOKUP($A60,'Payer Mix 3 yr avg FY25-26'!$B$5:$P$89,15,FALSE)</f>
        <v>4.2471432905248256E-3</v>
      </c>
      <c r="G60" s="132" t="str">
        <f>VLOOKUP($A60,'Discharge 3 yr avg FY25-26'!$B$4:$K$88,9,FALSE)</f>
        <v>2021-2023</v>
      </c>
      <c r="H60" s="133">
        <f>VLOOKUP($A60,'Discharge 3 yr avg FY25-26'!$B$4:$K$88,10,FALSE)</f>
        <v>59</v>
      </c>
      <c r="I60" s="134">
        <f>VLOOKUP($A60,'Solvency Metric FY25-26'!$B$2:$AG$86,32,FALSE)</f>
        <v>-0.1703285474978109</v>
      </c>
      <c r="J60" s="190"/>
      <c r="K60" s="135" t="s">
        <v>721</v>
      </c>
    </row>
    <row r="61" spans="1:39" x14ac:dyDescent="0.25">
      <c r="A61" s="113">
        <v>61308</v>
      </c>
      <c r="B61" s="96" t="s">
        <v>395</v>
      </c>
      <c r="C61" s="224">
        <v>1</v>
      </c>
      <c r="D61" s="96" t="s">
        <v>300</v>
      </c>
      <c r="E61" s="132" t="str">
        <f>VLOOKUP($A61,'Payer Mix 3 yr avg FY25-26'!$B$5:$P$89,14,FALSE)</f>
        <v>2021-2023</v>
      </c>
      <c r="F61" s="132">
        <f>VLOOKUP($A61,'Payer Mix 3 yr avg FY25-26'!$B$5:$P$89,15,FALSE)</f>
        <v>0.13428001993024413</v>
      </c>
      <c r="G61" s="132" t="str">
        <f>VLOOKUP($A61,'Discharge 3 yr avg FY25-26'!$B$4:$K$88,9,FALSE)</f>
        <v>2021-2023</v>
      </c>
      <c r="H61" s="133">
        <f>VLOOKUP($A61,'Discharge 3 yr avg FY25-26'!$B$4:$K$88,10,FALSE)</f>
        <v>209</v>
      </c>
      <c r="I61" s="134">
        <f>VLOOKUP($A61,'Solvency Metric FY25-26'!$B$2:$AG$86,32,FALSE)</f>
        <v>0.18318873102711822</v>
      </c>
      <c r="J61" s="190"/>
      <c r="K61" s="135" t="s">
        <v>721</v>
      </c>
    </row>
    <row r="62" spans="1:39" x14ac:dyDescent="0.25">
      <c r="A62" s="112">
        <v>61309</v>
      </c>
      <c r="B62" s="96" t="s">
        <v>219</v>
      </c>
      <c r="C62" s="222">
        <v>1</v>
      </c>
      <c r="D62" s="96"/>
      <c r="E62" s="132" t="str">
        <f>VLOOKUP($A62,'Payer Mix 3 yr avg FY25-26'!$B$5:$P$89,14,FALSE)</f>
        <v>2021-2023</v>
      </c>
      <c r="F62" s="132">
        <f>VLOOKUP($A62,'Payer Mix 3 yr avg FY25-26'!$B$5:$P$89,15,FALSE)</f>
        <v>0.23208722741433022</v>
      </c>
      <c r="G62" s="132" t="str">
        <f>VLOOKUP($A62,'Discharge 3 yr avg FY25-26'!$B$4:$K$88,9,FALSE)</f>
        <v>2021-2023</v>
      </c>
      <c r="H62" s="133">
        <f>VLOOKUP($A62,'Discharge 3 yr avg FY25-26'!$B$4:$K$88,10,FALSE)</f>
        <v>340</v>
      </c>
      <c r="I62" s="134">
        <f>VLOOKUP($A62,'Solvency Metric FY25-26'!$B$2:$AG$86,32,FALSE)</f>
        <v>7.1422744383267039E-2</v>
      </c>
      <c r="J62" s="190"/>
      <c r="K62" s="135" t="s">
        <v>721</v>
      </c>
    </row>
    <row r="63" spans="1:39" x14ac:dyDescent="0.25">
      <c r="A63" s="112">
        <v>61310</v>
      </c>
      <c r="B63" s="96" t="s">
        <v>397</v>
      </c>
      <c r="C63" s="222">
        <v>1</v>
      </c>
      <c r="D63" s="96"/>
      <c r="E63" s="132" t="str">
        <f>VLOOKUP($A63,'Payer Mix 3 yr avg FY25-26'!$B$5:$P$89,14,FALSE)</f>
        <v>2021-2023</v>
      </c>
      <c r="F63" s="132">
        <f>VLOOKUP($A63,'Payer Mix 3 yr avg FY25-26'!$B$5:$P$89,15,FALSE)</f>
        <v>3.603221704111912E-2</v>
      </c>
      <c r="G63" s="132" t="str">
        <f>VLOOKUP($A63,'Discharge 3 yr avg FY25-26'!$B$4:$K$88,9,FALSE)</f>
        <v>2021-2023</v>
      </c>
      <c r="H63" s="133">
        <f>VLOOKUP($A63,'Discharge 3 yr avg FY25-26'!$B$4:$K$88,10,FALSE)</f>
        <v>124.33333333333333</v>
      </c>
      <c r="I63" s="134">
        <f>VLOOKUP($A63,'Solvency Metric FY25-26'!$B$2:$AG$86,32,FALSE)</f>
        <v>3.6342007830092296E-2</v>
      </c>
      <c r="J63" s="190"/>
      <c r="K63" s="135" t="s">
        <v>721</v>
      </c>
    </row>
    <row r="64" spans="1:39" x14ac:dyDescent="0.25">
      <c r="A64" s="112">
        <v>61311</v>
      </c>
      <c r="B64" s="96" t="s">
        <v>399</v>
      </c>
      <c r="C64" s="222">
        <v>1</v>
      </c>
      <c r="D64" s="96"/>
      <c r="E64" s="132" t="str">
        <f>VLOOKUP($A64,'Payer Mix 3 yr avg FY25-26'!$B$5:$P$89,14,FALSE)</f>
        <v>2021-2023</v>
      </c>
      <c r="F64" s="132">
        <f>VLOOKUP($A64,'Payer Mix 3 yr avg FY25-26'!$B$5:$P$89,15,FALSE)</f>
        <v>5.2595936794582396E-2</v>
      </c>
      <c r="G64" s="132" t="str">
        <f>VLOOKUP($A64,'Discharge 3 yr avg FY25-26'!$B$4:$K$88,9,FALSE)</f>
        <v>2021-2023</v>
      </c>
      <c r="H64" s="133">
        <f>VLOOKUP($A64,'Discharge 3 yr avg FY25-26'!$B$4:$K$88,10,FALSE)</f>
        <v>157.33333333333334</v>
      </c>
      <c r="I64" s="134">
        <f>VLOOKUP($A64,'Solvency Metric FY25-26'!$B$2:$AG$86,32,FALSE)</f>
        <v>-1.0580326561908658E-2</v>
      </c>
      <c r="J64" s="190"/>
      <c r="K64" s="135" t="s">
        <v>721</v>
      </c>
    </row>
    <row r="65" spans="1:11" x14ac:dyDescent="0.25">
      <c r="A65" s="112">
        <v>61312</v>
      </c>
      <c r="B65" s="96" t="s">
        <v>401</v>
      </c>
      <c r="C65" s="222">
        <v>0</v>
      </c>
      <c r="D65" s="96"/>
      <c r="E65" s="132" t="str">
        <f>VLOOKUP($A65,'Payer Mix 3 yr avg FY25-26'!$B$5:$P$89,14,FALSE)</f>
        <v>2021-2023</v>
      </c>
      <c r="F65" s="132">
        <f>VLOOKUP($A65,'Payer Mix 3 yr avg FY25-26'!$B$5:$P$89,15,FALSE)</f>
        <v>0.1072463768115942</v>
      </c>
      <c r="G65" s="132" t="str">
        <f>VLOOKUP($A65,'Discharge 3 yr avg FY25-26'!$B$4:$K$88,9,FALSE)</f>
        <v>2021-2023</v>
      </c>
      <c r="H65" s="133">
        <f>VLOOKUP($A65,'Discharge 3 yr avg FY25-26'!$B$4:$K$88,10,FALSE)</f>
        <v>247.66666666666666</v>
      </c>
      <c r="I65" s="134">
        <f>VLOOKUP($A65,'Solvency Metric FY25-26'!$B$2:$AG$86,32,FALSE)</f>
        <v>-7.3695257388957311E-2</v>
      </c>
      <c r="J65" s="190"/>
      <c r="K65" s="135" t="s">
        <v>721</v>
      </c>
    </row>
    <row r="66" spans="1:11" x14ac:dyDescent="0.25">
      <c r="A66" s="112">
        <v>61313</v>
      </c>
      <c r="B66" s="96" t="s">
        <v>403</v>
      </c>
      <c r="C66" s="222">
        <v>1</v>
      </c>
      <c r="D66" s="96"/>
      <c r="E66" s="132" t="str">
        <f>VLOOKUP($A66,'Payer Mix 3 yr avg FY25-26'!$B$5:$P$89,14,FALSE)</f>
        <v>2021-2023</v>
      </c>
      <c r="F66" s="132">
        <f>VLOOKUP($A66,'Payer Mix 3 yr avg FY25-26'!$B$5:$P$89,15,FALSE)</f>
        <v>5.872311369067941E-2</v>
      </c>
      <c r="G66" s="132" t="str">
        <f>VLOOKUP($A66,'Discharge 3 yr avg FY25-26'!$B$4:$K$88,9,FALSE)</f>
        <v>2021-2023</v>
      </c>
      <c r="H66" s="133">
        <f>VLOOKUP($A66,'Discharge 3 yr avg FY25-26'!$B$4:$K$88,10,FALSE)</f>
        <v>148</v>
      </c>
      <c r="I66" s="134">
        <f>VLOOKUP($A66,'Solvency Metric FY25-26'!$B$2:$AG$86,32,FALSE)</f>
        <v>8.9342385723856985E-2</v>
      </c>
      <c r="J66" s="190"/>
      <c r="K66" s="135" t="s">
        <v>721</v>
      </c>
    </row>
    <row r="67" spans="1:11" x14ac:dyDescent="0.25">
      <c r="A67" s="113">
        <v>61314</v>
      </c>
      <c r="B67" s="96" t="s">
        <v>405</v>
      </c>
      <c r="C67" s="224">
        <v>1</v>
      </c>
      <c r="D67" s="96"/>
      <c r="E67" s="132" t="str">
        <f>VLOOKUP($A67,'Payer Mix 3 yr avg FY25-26'!$B$5:$P$89,14,FALSE)</f>
        <v>2021-2023</v>
      </c>
      <c r="F67" s="132">
        <f>VLOOKUP($A67,'Payer Mix 3 yr avg FY25-26'!$B$5:$P$89,15,FALSE)</f>
        <v>0.12487939352170917</v>
      </c>
      <c r="G67" s="132" t="str">
        <f>VLOOKUP($A67,'Discharge 3 yr avg FY25-26'!$B$4:$K$88,9,FALSE)</f>
        <v>2021-2023</v>
      </c>
      <c r="H67" s="133">
        <f>VLOOKUP($A67,'Discharge 3 yr avg FY25-26'!$B$4:$K$88,10,FALSE)</f>
        <v>490.33333333333331</v>
      </c>
      <c r="I67" s="134">
        <f>VLOOKUP($A67,'Solvency Metric FY25-26'!$B$2:$AG$86,32,FALSE)</f>
        <v>7.3392985686395129E-2</v>
      </c>
      <c r="J67" s="190"/>
      <c r="K67" s="135" t="s">
        <v>721</v>
      </c>
    </row>
    <row r="68" spans="1:11" x14ac:dyDescent="0.25">
      <c r="A68" s="113">
        <v>61315</v>
      </c>
      <c r="B68" s="96" t="s">
        <v>407</v>
      </c>
      <c r="C68" s="224">
        <v>1</v>
      </c>
      <c r="D68" s="96"/>
      <c r="E68" s="132" t="str">
        <f>VLOOKUP($A68,'Payer Mix 3 yr avg FY25-26'!$B$5:$P$89,14,FALSE)</f>
        <v>2021-2023</v>
      </c>
      <c r="F68" s="132">
        <f>VLOOKUP($A68,'Payer Mix 3 yr avg FY25-26'!$B$5:$P$89,15,FALSE)</f>
        <v>9.044193216855087E-2</v>
      </c>
      <c r="G68" s="132" t="str">
        <f>VLOOKUP($A68,'Discharge 3 yr avg FY25-26'!$B$4:$K$88,9,FALSE)</f>
        <v>2021-2023</v>
      </c>
      <c r="H68" s="133">
        <f>VLOOKUP($A68,'Discharge 3 yr avg FY25-26'!$B$4:$K$88,10,FALSE)</f>
        <v>131.33333333333334</v>
      </c>
      <c r="I68" s="134">
        <f>VLOOKUP($A68,'Solvency Metric FY25-26'!$B$2:$AG$86,32,FALSE)</f>
        <v>-6.7591272861989224E-2</v>
      </c>
      <c r="J68" s="190"/>
      <c r="K68" s="135" t="s">
        <v>721</v>
      </c>
    </row>
    <row r="69" spans="1:11" x14ac:dyDescent="0.25">
      <c r="A69" s="112">
        <v>61316</v>
      </c>
      <c r="B69" s="96" t="s">
        <v>409</v>
      </c>
      <c r="C69" s="222">
        <v>1</v>
      </c>
      <c r="D69" s="96"/>
      <c r="E69" s="132" t="str">
        <f>VLOOKUP($A69,'Payer Mix 3 yr avg FY25-26'!$B$5:$P$89,14,FALSE)</f>
        <v>2021-2023</v>
      </c>
      <c r="F69" s="132">
        <f>VLOOKUP($A69,'Payer Mix 3 yr avg FY25-26'!$B$5:$P$89,15,FALSE)</f>
        <v>0.63491375574239406</v>
      </c>
      <c r="G69" s="132" t="str">
        <f>VLOOKUP($A69,'Discharge 3 yr avg FY25-26'!$B$4:$K$88,9,FALSE)</f>
        <v>2021-2023</v>
      </c>
      <c r="H69" s="133">
        <f>VLOOKUP($A69,'Discharge 3 yr avg FY25-26'!$B$4:$K$88,10,FALSE)</f>
        <v>168</v>
      </c>
      <c r="I69" s="134">
        <f>VLOOKUP($A69,'Solvency Metric FY25-26'!$B$2:$AG$86,32,FALSE)</f>
        <v>5.0092216275350952E-2</v>
      </c>
      <c r="J69" s="190"/>
      <c r="K69" s="135" t="s">
        <v>721</v>
      </c>
    </row>
    <row r="70" spans="1:11" x14ac:dyDescent="0.25">
      <c r="A70" s="112">
        <v>61317</v>
      </c>
      <c r="B70" s="96" t="s">
        <v>411</v>
      </c>
      <c r="C70" s="222">
        <v>1</v>
      </c>
      <c r="D70" s="96"/>
      <c r="E70" s="132" t="str">
        <f>VLOOKUP($A70,'Payer Mix 3 yr avg FY25-26'!$B$5:$P$89,14,FALSE)</f>
        <v>2021-2023</v>
      </c>
      <c r="F70" s="132">
        <f>VLOOKUP($A70,'Payer Mix 3 yr avg FY25-26'!$B$5:$P$89,15,FALSE)</f>
        <v>0.14937462775461585</v>
      </c>
      <c r="G70" s="132" t="str">
        <f>VLOOKUP($A70,'Discharge 3 yr avg FY25-26'!$B$4:$K$88,9,FALSE)</f>
        <v>2021-2023</v>
      </c>
      <c r="H70" s="133">
        <f>VLOOKUP($A70,'Discharge 3 yr avg FY25-26'!$B$4:$K$88,10,FALSE)</f>
        <v>549</v>
      </c>
      <c r="I70" s="134">
        <f>VLOOKUP($A70,'Solvency Metric FY25-26'!$B$2:$AG$86,32,FALSE)</f>
        <v>-0.12475230849522083</v>
      </c>
      <c r="J70" s="190"/>
      <c r="K70" s="135" t="s">
        <v>721</v>
      </c>
    </row>
    <row r="71" spans="1:11" x14ac:dyDescent="0.25">
      <c r="A71" s="112">
        <v>61318</v>
      </c>
      <c r="B71" s="96" t="s">
        <v>413</v>
      </c>
      <c r="C71" s="222">
        <v>1</v>
      </c>
      <c r="D71" s="96"/>
      <c r="E71" s="132" t="str">
        <f>VLOOKUP($A71,'Payer Mix 3 yr avg FY25-26'!$B$5:$P$89,14,FALSE)</f>
        <v>2021-2023</v>
      </c>
      <c r="F71" s="132">
        <f>VLOOKUP($A71,'Payer Mix 3 yr avg FY25-26'!$B$5:$P$89,15,FALSE)</f>
        <v>0.3757256503977639</v>
      </c>
      <c r="G71" s="132" t="str">
        <f>VLOOKUP($A71,'Discharge 3 yr avg FY25-26'!$B$4:$K$88,9,FALSE)</f>
        <v>2021-2023</v>
      </c>
      <c r="H71" s="133">
        <f>VLOOKUP($A71,'Discharge 3 yr avg FY25-26'!$B$4:$K$88,10,FALSE)</f>
        <v>144.33333333333334</v>
      </c>
      <c r="I71" s="134">
        <f>VLOOKUP($A71,'Solvency Metric FY25-26'!$B$2:$AG$86,32,FALSE)</f>
        <v>9.0254746402753883E-2</v>
      </c>
      <c r="J71" s="190"/>
      <c r="K71" s="135" t="s">
        <v>721</v>
      </c>
    </row>
    <row r="72" spans="1:11" x14ac:dyDescent="0.25">
      <c r="A72" s="112">
        <v>61319</v>
      </c>
      <c r="B72" s="96" t="s">
        <v>415</v>
      </c>
      <c r="C72" s="222">
        <v>1</v>
      </c>
      <c r="D72" s="96"/>
      <c r="E72" s="132" t="str">
        <f>VLOOKUP($A72,'Payer Mix 3 yr avg FY25-26'!$B$5:$P$89,14,FALSE)</f>
        <v>2021-2023</v>
      </c>
      <c r="F72" s="132">
        <f>VLOOKUP($A72,'Payer Mix 3 yr avg FY25-26'!$B$5:$P$89,15,FALSE)</f>
        <v>0.16151898734177214</v>
      </c>
      <c r="G72" s="132" t="str">
        <f>VLOOKUP($A72,'Discharge 3 yr avg FY25-26'!$B$4:$K$88,9,FALSE)</f>
        <v>2021-2023</v>
      </c>
      <c r="H72" s="133">
        <f>VLOOKUP($A72,'Discharge 3 yr avg FY25-26'!$B$4:$K$88,10,FALSE)</f>
        <v>115</v>
      </c>
      <c r="I72" s="134">
        <f>VLOOKUP($A72,'Solvency Metric FY25-26'!$B$2:$AG$86,32,FALSE)</f>
        <v>-0.50131552191512485</v>
      </c>
      <c r="J72" s="190" t="str">
        <f>VLOOKUP($A72,'Solvency Metric FY25-26'!$B$2:$AH$86,33,FALSE)</f>
        <v>Missing 2021 and 2022 data</v>
      </c>
      <c r="K72" s="135" t="s">
        <v>721</v>
      </c>
    </row>
    <row r="73" spans="1:11" x14ac:dyDescent="0.25">
      <c r="A73" s="112">
        <v>61320</v>
      </c>
      <c r="B73" s="96" t="s">
        <v>417</v>
      </c>
      <c r="C73" s="222">
        <v>1</v>
      </c>
      <c r="D73" s="96"/>
      <c r="E73" s="132" t="str">
        <f>VLOOKUP($A73,'Payer Mix 3 yr avg FY25-26'!$B$5:$P$89,14,FALSE)</f>
        <v>2021-2023</v>
      </c>
      <c r="F73" s="132">
        <f>VLOOKUP($A73,'Payer Mix 3 yr avg FY25-26'!$B$5:$P$89,15,FALSE)</f>
        <v>0.10031527658354829</v>
      </c>
      <c r="G73" s="132" t="str">
        <f>VLOOKUP($A73,'Discharge 3 yr avg FY25-26'!$B$4:$K$88,9,FALSE)</f>
        <v>2021-2023</v>
      </c>
      <c r="H73" s="133">
        <f>VLOOKUP($A73,'Discharge 3 yr avg FY25-26'!$B$4:$K$88,10,FALSE)</f>
        <v>521</v>
      </c>
      <c r="I73" s="134">
        <f>VLOOKUP($A73,'Solvency Metric FY25-26'!$B$2:$AG$86,32,FALSE)</f>
        <v>8.2127092225765419E-2</v>
      </c>
      <c r="J73" s="190"/>
      <c r="K73" s="135" t="s">
        <v>721</v>
      </c>
    </row>
    <row r="74" spans="1:11" x14ac:dyDescent="0.25">
      <c r="A74" s="112">
        <v>61321</v>
      </c>
      <c r="B74" s="96" t="s">
        <v>419</v>
      </c>
      <c r="C74" s="222">
        <v>1</v>
      </c>
      <c r="D74" s="96"/>
      <c r="E74" s="132" t="str">
        <f>VLOOKUP($A74,'Payer Mix 3 yr avg FY25-26'!$B$5:$P$89,14,FALSE)</f>
        <v>2021-2023</v>
      </c>
      <c r="F74" s="132">
        <f>VLOOKUP($A74,'Payer Mix 3 yr avg FY25-26'!$B$5:$P$89,15,FALSE)</f>
        <v>0.15744134897360704</v>
      </c>
      <c r="G74" s="132" t="str">
        <f>VLOOKUP($A74,'Discharge 3 yr avg FY25-26'!$B$4:$K$88,9,FALSE)</f>
        <v>2021-2023</v>
      </c>
      <c r="H74" s="133">
        <f>VLOOKUP($A74,'Discharge 3 yr avg FY25-26'!$B$4:$K$88,10,FALSE)</f>
        <v>440.33333333333331</v>
      </c>
      <c r="I74" s="134">
        <f>VLOOKUP($A74,'Solvency Metric FY25-26'!$B$2:$AG$86,32,FALSE)</f>
        <v>2.427664413353561E-2</v>
      </c>
      <c r="J74" s="190"/>
      <c r="K74" s="135" t="s">
        <v>721</v>
      </c>
    </row>
    <row r="75" spans="1:11" x14ac:dyDescent="0.25">
      <c r="A75" s="112">
        <v>61322</v>
      </c>
      <c r="B75" s="96" t="s">
        <v>421</v>
      </c>
      <c r="C75" s="222">
        <v>1</v>
      </c>
      <c r="D75" s="96"/>
      <c r="E75" s="132" t="str">
        <f>VLOOKUP($A75,'Payer Mix 3 yr avg FY25-26'!$B$5:$P$89,14,FALSE)</f>
        <v>2021-2023</v>
      </c>
      <c r="F75" s="132">
        <f>VLOOKUP($A75,'Payer Mix 3 yr avg FY25-26'!$B$5:$P$89,15,FALSE)</f>
        <v>0.14921815408085431</v>
      </c>
      <c r="G75" s="132" t="str">
        <f>VLOOKUP($A75,'Discharge 3 yr avg FY25-26'!$B$4:$K$88,9,FALSE)</f>
        <v>2021-2023</v>
      </c>
      <c r="H75" s="133">
        <f>VLOOKUP($A75,'Discharge 3 yr avg FY25-26'!$B$4:$K$88,10,FALSE)</f>
        <v>769.66666666666663</v>
      </c>
      <c r="I75" s="134">
        <f>VLOOKUP($A75,'Solvency Metric FY25-26'!$B$2:$AG$86,32,FALSE)</f>
        <v>0.13422254043494872</v>
      </c>
      <c r="J75" s="190"/>
      <c r="K75" s="135" t="s">
        <v>721</v>
      </c>
    </row>
    <row r="76" spans="1:11" x14ac:dyDescent="0.25">
      <c r="A76" s="112">
        <v>61323</v>
      </c>
      <c r="B76" s="96" t="s">
        <v>423</v>
      </c>
      <c r="C76" s="222">
        <v>1</v>
      </c>
      <c r="D76" s="96"/>
      <c r="E76" s="132" t="str">
        <f>VLOOKUP($A76,'Payer Mix 3 yr avg FY25-26'!$B$5:$P$89,14,FALSE)</f>
        <v>2021-2023</v>
      </c>
      <c r="F76" s="132">
        <f>VLOOKUP($A76,'Payer Mix 3 yr avg FY25-26'!$B$5:$P$89,15,FALSE)</f>
        <v>0.19039451114922812</v>
      </c>
      <c r="G76" s="132" t="str">
        <f>VLOOKUP($A76,'Discharge 3 yr avg FY25-26'!$B$4:$K$88,9,FALSE)</f>
        <v>2021-2023</v>
      </c>
      <c r="H76" s="133">
        <f>VLOOKUP($A76,'Discharge 3 yr avg FY25-26'!$B$4:$K$88,10,FALSE)</f>
        <v>356</v>
      </c>
      <c r="I76" s="134">
        <f>VLOOKUP($A76,'Solvency Metric FY25-26'!$B$2:$AG$86,32,FALSE)</f>
        <v>4.3831390189091997E-2</v>
      </c>
      <c r="J76" s="190"/>
      <c r="K76" s="135" t="s">
        <v>721</v>
      </c>
    </row>
    <row r="77" spans="1:11" x14ac:dyDescent="0.25">
      <c r="A77" s="112">
        <v>61324</v>
      </c>
      <c r="B77" s="96" t="s">
        <v>425</v>
      </c>
      <c r="C77" s="222">
        <v>1</v>
      </c>
      <c r="D77" s="96"/>
      <c r="E77" s="132" t="str">
        <f>VLOOKUP($A77,'Payer Mix 3 yr avg FY25-26'!$B$5:$P$89,14,FALSE)</f>
        <v>2021-2023</v>
      </c>
      <c r="F77" s="132">
        <f>VLOOKUP($A77,'Payer Mix 3 yr avg FY25-26'!$B$5:$P$89,15,FALSE)</f>
        <v>0.10722923945176029</v>
      </c>
      <c r="G77" s="132" t="str">
        <f>VLOOKUP($A77,'Discharge 3 yr avg FY25-26'!$B$4:$K$88,9,FALSE)</f>
        <v>2021-2023</v>
      </c>
      <c r="H77" s="133">
        <f>VLOOKUP($A77,'Discharge 3 yr avg FY25-26'!$B$4:$K$88,10,FALSE)</f>
        <v>586</v>
      </c>
      <c r="I77" s="134">
        <f>VLOOKUP($A77,'Solvency Metric FY25-26'!$B$2:$AG$86,32,FALSE)</f>
        <v>0.1455459411442582</v>
      </c>
      <c r="J77" s="190"/>
      <c r="K77" s="135" t="s">
        <v>721</v>
      </c>
    </row>
    <row r="78" spans="1:11" s="3" customFormat="1" x14ac:dyDescent="0.25">
      <c r="A78" s="113">
        <v>61325</v>
      </c>
      <c r="B78" s="258" t="s">
        <v>427</v>
      </c>
      <c r="C78" s="224">
        <v>1</v>
      </c>
      <c r="D78" s="258"/>
      <c r="E78" s="132" t="str">
        <f>VLOOKUP($A78,'Payer Mix 3 yr avg FY25-26'!$B$5:$P$89,14,FALSE)</f>
        <v>2021-2023</v>
      </c>
      <c r="F78" s="132">
        <f>VLOOKUP($A78,'Payer Mix 3 yr avg FY25-26'!$B$5:$P$89,15,FALSE)</f>
        <v>6.2417249858142614E-2</v>
      </c>
      <c r="G78" s="132" t="str">
        <f>VLOOKUP($A78,'Discharge 3 yr avg FY25-26'!$B$4:$K$88,9,FALSE)</f>
        <v>2021-2023</v>
      </c>
      <c r="H78" s="133">
        <f>VLOOKUP($A78,'Discharge 3 yr avg FY25-26'!$B$4:$K$88,10,FALSE)</f>
        <v>521.33333333333337</v>
      </c>
      <c r="I78" s="259">
        <f>VLOOKUP($A78,'Solvency Metric FY25-26'!$B$2:$AG$86,32,FALSE)</f>
        <v>2.5773476671710992E-2</v>
      </c>
      <c r="J78" s="260"/>
      <c r="K78" s="261" t="s">
        <v>721</v>
      </c>
    </row>
    <row r="79" spans="1:11" x14ac:dyDescent="0.25">
      <c r="A79" s="112">
        <v>61326</v>
      </c>
      <c r="B79" s="96" t="s">
        <v>429</v>
      </c>
      <c r="C79" s="222">
        <v>0</v>
      </c>
      <c r="D79" s="96" t="s">
        <v>304</v>
      </c>
      <c r="E79" s="132" t="str">
        <f>VLOOKUP($A79,'Payer Mix 3 yr avg FY25-26'!$B$5:$P$89,14,FALSE)</f>
        <v>2021-2023</v>
      </c>
      <c r="F79" s="132">
        <f>VLOOKUP($A79,'Payer Mix 3 yr avg FY25-26'!$B$5:$P$89,15,FALSE)</f>
        <v>9.1867822826341691E-2</v>
      </c>
      <c r="G79" s="132" t="str">
        <f>VLOOKUP($A79,'Discharge 3 yr avg FY25-26'!$B$4:$K$88,9,FALSE)</f>
        <v>2021-2023</v>
      </c>
      <c r="H79" s="133">
        <f>VLOOKUP($A79,'Discharge 3 yr avg FY25-26'!$B$4:$K$88,10,FALSE)</f>
        <v>343.33333333333331</v>
      </c>
      <c r="I79" s="134">
        <f>VLOOKUP($A79,'Solvency Metric FY25-26'!$B$2:$AG$86,32,FALSE)</f>
        <v>0.11629293225070354</v>
      </c>
      <c r="J79" s="190"/>
      <c r="K79" s="135" t="s">
        <v>721</v>
      </c>
    </row>
    <row r="80" spans="1:11" x14ac:dyDescent="0.25">
      <c r="A80" s="112">
        <v>61327</v>
      </c>
      <c r="B80" s="96" t="s">
        <v>431</v>
      </c>
      <c r="C80" s="222">
        <v>1</v>
      </c>
      <c r="D80" s="96"/>
      <c r="E80" s="132" t="str">
        <f>VLOOKUP($A80,'Payer Mix 3 yr avg FY25-26'!$B$5:$P$89,14,FALSE)</f>
        <v>2021-2023</v>
      </c>
      <c r="F80" s="132">
        <f>VLOOKUP($A80,'Payer Mix 3 yr avg FY25-26'!$B$5:$P$89,15,FALSE)</f>
        <v>0.24628506110964565</v>
      </c>
      <c r="G80" s="132" t="str">
        <f>VLOOKUP($A80,'Discharge 3 yr avg FY25-26'!$B$4:$K$88,9,FALSE)</f>
        <v>2021-2023</v>
      </c>
      <c r="H80" s="133">
        <f>VLOOKUP($A80,'Discharge 3 yr avg FY25-26'!$B$4:$K$88,10,FALSE)</f>
        <v>903.66666666666663</v>
      </c>
      <c r="I80" s="134">
        <f>VLOOKUP($A80,'Solvency Metric FY25-26'!$B$2:$AG$86,32,FALSE)</f>
        <v>3.1158787589621848E-2</v>
      </c>
      <c r="J80" s="190"/>
      <c r="K80" s="135" t="s">
        <v>721</v>
      </c>
    </row>
    <row r="81" spans="1:39" x14ac:dyDescent="0.25">
      <c r="A81" s="112">
        <v>61328</v>
      </c>
      <c r="B81" s="96" t="s">
        <v>433</v>
      </c>
      <c r="C81" s="222">
        <v>1</v>
      </c>
      <c r="D81" s="96"/>
      <c r="E81" s="132" t="str">
        <f>VLOOKUP($A81,'Payer Mix 3 yr avg FY25-26'!$B$5:$P$89,14,FALSE)</f>
        <v>2021-2023</v>
      </c>
      <c r="F81" s="132">
        <f>VLOOKUP($A81,'Payer Mix 3 yr avg FY25-26'!$B$5:$P$89,15,FALSE)</f>
        <v>0.14138240574506283</v>
      </c>
      <c r="G81" s="132" t="str">
        <f>VLOOKUP($A81,'Discharge 3 yr avg FY25-26'!$B$4:$K$88,9,FALSE)</f>
        <v>2021-2023</v>
      </c>
      <c r="H81" s="133">
        <f>VLOOKUP($A81,'Discharge 3 yr avg FY25-26'!$B$4:$K$88,10,FALSE)</f>
        <v>297.66666666666669</v>
      </c>
      <c r="I81" s="134">
        <f>VLOOKUP($A81,'Solvency Metric FY25-26'!$B$2:$AG$86,32,FALSE)</f>
        <v>7.9535136584932137E-2</v>
      </c>
      <c r="J81" s="190"/>
      <c r="K81" s="135" t="s">
        <v>721</v>
      </c>
    </row>
    <row r="82" spans="1:39" x14ac:dyDescent="0.25">
      <c r="A82" s="112">
        <v>61336</v>
      </c>
      <c r="B82" s="96" t="s">
        <v>435</v>
      </c>
      <c r="C82" s="222">
        <v>1</v>
      </c>
      <c r="D82" s="96"/>
      <c r="E82" s="132" t="str">
        <f>VLOOKUP($A82,'Payer Mix 3 yr avg FY25-26'!$B$5:$P$89,14,FALSE)</f>
        <v>2022-2024</v>
      </c>
      <c r="F82" s="132">
        <f>VLOOKUP($A82,'Payer Mix 3 yr avg FY25-26'!$B$5:$P$89,15,FALSE)</f>
        <v>0.36895221133867617</v>
      </c>
      <c r="G82" s="132" t="str">
        <f>VLOOKUP($A82,'Discharge 3 yr avg FY25-26'!$B$4:$K$88,9,FALSE)</f>
        <v>2022-2024</v>
      </c>
      <c r="H82" s="133">
        <f>VLOOKUP($A82,'Discharge 3 yr avg FY25-26'!$B$4:$K$88,10,FALSE)</f>
        <v>683</v>
      </c>
      <c r="I82" s="134">
        <f>VLOOKUP($A82,'Solvency Metric FY25-26'!$B$2:$AG$86,32,FALSE)</f>
        <v>-5.3255831903678323E-2</v>
      </c>
      <c r="J82" s="190"/>
      <c r="K82" s="135" t="s">
        <v>721</v>
      </c>
    </row>
    <row r="83" spans="1:39" x14ac:dyDescent="0.25">
      <c r="A83" s="112">
        <v>61343</v>
      </c>
      <c r="B83" s="96" t="s">
        <v>437</v>
      </c>
      <c r="C83" s="222">
        <v>1</v>
      </c>
      <c r="D83" s="96"/>
      <c r="E83" s="132" t="str">
        <f>VLOOKUP($A83,'Payer Mix 3 yr avg FY25-26'!$B$5:$P$89,14,FALSE)</f>
        <v>2021-2023</v>
      </c>
      <c r="F83" s="132">
        <f>VLOOKUP($A83,'Payer Mix 3 yr avg FY25-26'!$B$5:$P$89,15,FALSE)</f>
        <v>6.602254428341385E-2</v>
      </c>
      <c r="G83" s="132" t="str">
        <f>VLOOKUP($A83,'Discharge 3 yr avg FY25-26'!$B$4:$K$88,9,FALSE)</f>
        <v>2021-2023</v>
      </c>
      <c r="H83" s="133">
        <f>VLOOKUP($A83,'Discharge 3 yr avg FY25-26'!$B$4:$K$88,10,FALSE)</f>
        <v>44</v>
      </c>
      <c r="I83" s="134">
        <f>VLOOKUP($A83,'Solvency Metric FY25-26'!$B$2:$AG$86,32,FALSE)</f>
        <v>-0.25373002723536647</v>
      </c>
      <c r="J83" s="190"/>
      <c r="K83" s="135" t="s">
        <v>721</v>
      </c>
    </row>
    <row r="84" spans="1:39" x14ac:dyDescent="0.25">
      <c r="A84" s="112">
        <v>61344</v>
      </c>
      <c r="B84" s="96" t="s">
        <v>439</v>
      </c>
      <c r="C84" s="222">
        <v>1</v>
      </c>
      <c r="D84" s="96" t="s">
        <v>292</v>
      </c>
      <c r="E84" s="132" t="str">
        <f>VLOOKUP($A84,'Payer Mix 3 yr avg FY25-26'!$B$5:$P$89,14,FALSE)</f>
        <v>2021-2023</v>
      </c>
      <c r="F84" s="132">
        <f>VLOOKUP($A84,'Payer Mix 3 yr avg FY25-26'!$B$5:$P$89,15,FALSE)</f>
        <v>0.2349109856708641</v>
      </c>
      <c r="G84" s="132" t="str">
        <f>VLOOKUP($A84,'Discharge 3 yr avg FY25-26'!$B$4:$K$88,9,FALSE)</f>
        <v>2021-2023</v>
      </c>
      <c r="H84" s="133">
        <f>VLOOKUP($A84,'Discharge 3 yr avg FY25-26'!$B$4:$K$88,10,FALSE)</f>
        <v>1610.3333333333333</v>
      </c>
      <c r="I84" s="134">
        <f>VLOOKUP($A84,'Solvency Metric FY25-26'!$B$2:$AG$86,32,FALSE)</f>
        <v>0.27487093408445196</v>
      </c>
      <c r="J84" s="190"/>
      <c r="K84" s="135" t="s">
        <v>721</v>
      </c>
    </row>
    <row r="85" spans="1:39" x14ac:dyDescent="0.25">
      <c r="A85" s="112">
        <v>63301</v>
      </c>
      <c r="B85" s="96" t="s">
        <v>220</v>
      </c>
      <c r="C85" s="222">
        <v>2</v>
      </c>
      <c r="D85" s="96" t="s">
        <v>221</v>
      </c>
      <c r="E85" s="132" t="str">
        <f>VLOOKUP($A85,'Payer Mix 3 yr avg FY25-26'!$B$5:$P$89,14,FALSE)</f>
        <v>2021-2023</v>
      </c>
      <c r="F85" s="132">
        <f>VLOOKUP($A85,'Payer Mix 3 yr avg FY25-26'!$B$5:$P$89,15,FALSE)</f>
        <v>0.50845135874764991</v>
      </c>
      <c r="G85" s="132" t="str">
        <f>VLOOKUP($A85,'Discharge 3 yr avg FY25-26'!$B$4:$K$88,9,FALSE)</f>
        <v>2021-2023</v>
      </c>
      <c r="H85" s="133">
        <f>VLOOKUP($A85,'Discharge 3 yr avg FY25-26'!$B$4:$K$88,10,FALSE)</f>
        <v>15647.333333333334</v>
      </c>
      <c r="I85" s="134">
        <f>VLOOKUP($A85,'Solvency Metric FY25-26'!$B$2:$AG$86,32,FALSE)</f>
        <v>9.7817289928354631E-2</v>
      </c>
      <c r="J85" s="190"/>
      <c r="K85" s="135" t="s">
        <v>722</v>
      </c>
    </row>
    <row r="86" spans="1:39" x14ac:dyDescent="0.25">
      <c r="A86" s="112">
        <v>63303</v>
      </c>
      <c r="B86" s="96" t="s">
        <v>441</v>
      </c>
      <c r="C86" s="222">
        <v>2</v>
      </c>
      <c r="D86" s="96" t="s">
        <v>221</v>
      </c>
      <c r="E86" s="132" t="str">
        <f>VLOOKUP($A86,'Payer Mix 3 yr avg FY25-26'!$B$5:$P$89,14,FALSE)</f>
        <v>2021-2023</v>
      </c>
      <c r="F86" s="132">
        <f>VLOOKUP($A86,'Payer Mix 3 yr avg FY25-26'!$B$5:$P$89,15,FALSE)</f>
        <v>0.53303539373831665</v>
      </c>
      <c r="G86" s="132" t="str">
        <f>VLOOKUP($A86,'Discharge 3 yr avg FY25-26'!$B$4:$K$88,9,FALSE)</f>
        <v>2021-2023</v>
      </c>
      <c r="H86" s="133">
        <f>VLOOKUP($A86,'Discharge 3 yr avg FY25-26'!$B$4:$K$88,10,FALSE)</f>
        <v>3896.3333333333335</v>
      </c>
      <c r="I86" s="134">
        <f>VLOOKUP($A86,'Solvency Metric FY25-26'!$B$2:$AG$86,32,FALSE)</f>
        <v>8.490426418453928E-2</v>
      </c>
      <c r="J86" s="190"/>
      <c r="K86" s="135" t="s">
        <v>722</v>
      </c>
    </row>
    <row r="87" spans="1:39" x14ac:dyDescent="0.25">
      <c r="B87" s="2"/>
      <c r="E87" s="57"/>
      <c r="F87" s="57"/>
      <c r="G87" s="57"/>
      <c r="H87" s="57"/>
    </row>
    <row r="89" spans="1:39" x14ac:dyDescent="0.25">
      <c r="A89" s="82"/>
    </row>
    <row r="90" spans="1:39" x14ac:dyDescent="0.25">
      <c r="A90" s="80"/>
    </row>
    <row r="91" spans="1:39" x14ac:dyDescent="0.25">
      <c r="A91" s="80"/>
    </row>
    <row r="92" spans="1:39" x14ac:dyDescent="0.25">
      <c r="A92" s="80"/>
    </row>
    <row r="93" spans="1:39" x14ac:dyDescent="0.25">
      <c r="A93" s="80"/>
    </row>
    <row r="94" spans="1:39" x14ac:dyDescent="0.25">
      <c r="A94" s="80"/>
    </row>
    <row r="95" spans="1:39" x14ac:dyDescent="0.25">
      <c r="A95" s="80"/>
    </row>
    <row r="96" spans="1:39" s="6" customFormat="1" x14ac:dyDescent="0.25">
      <c r="A96" s="42">
        <v>1</v>
      </c>
      <c r="B96" s="42">
        <v>2</v>
      </c>
      <c r="C96" s="42">
        <v>3</v>
      </c>
      <c r="D96" s="42">
        <v>4</v>
      </c>
      <c r="E96" s="42">
        <v>5</v>
      </c>
      <c r="F96" s="42">
        <v>6</v>
      </c>
      <c r="G96" s="42">
        <v>7</v>
      </c>
      <c r="H96" s="42">
        <v>8</v>
      </c>
      <c r="I96" s="42">
        <v>11</v>
      </c>
      <c r="J96" s="42">
        <v>12</v>
      </c>
      <c r="K96" s="42">
        <v>13</v>
      </c>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row>
  </sheetData>
  <autoFilter ref="A1:K87" xr:uid="{A04AB3A6-18DC-4AC3-8C22-03719DD055A8}"/>
  <sortState xmlns:xlrd2="http://schemas.microsoft.com/office/spreadsheetml/2017/richdata2" ref="L2:R49">
    <sortCondition ref="N2:N49"/>
  </sortState>
  <hyperlinks>
    <hyperlink ref="F1" location="'Payer Mix 3 yr avg FY25-26'!A1" display="Up to 3 yr Avg Medicaid Payer Mix (includes Psych/Rehab/Other subunits) " xr:uid="{0FEF262F-52B8-4D77-8EB0-E235B05C9A2D}"/>
    <hyperlink ref="H1" location="'Discharge 3 yr avg FY25-26'!A1" display="Up to 3 yr Avg Discharges (includes Psych/Rehab/Other subunits) " xr:uid="{FE301605-F121-4CBD-8CA4-A5DEF0E527B1}"/>
    <hyperlink ref="I1" location="'Solvency Metric FY25-26'!A1" display="'Solvency Metric FY25-26'!A1" xr:uid="{71A570A2-3196-4FC1-93B3-CC86F670920D}"/>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91675-BE08-41A0-87C3-F235E12061C9}">
  <sheetPr>
    <tabColor theme="8" tint="0.59999389629810485"/>
  </sheetPr>
  <dimension ref="A1:AI88"/>
  <sheetViews>
    <sheetView workbookViewId="0">
      <pane xSplit="5" ySplit="1" topLeftCell="F2" activePane="bottomRight" state="frozen"/>
      <selection pane="topRight" activeCell="F1" sqref="F1"/>
      <selection pane="bottomLeft" activeCell="A2" sqref="A2"/>
      <selection pane="bottomRight"/>
    </sheetView>
  </sheetViews>
  <sheetFormatPr defaultRowHeight="15" x14ac:dyDescent="0.25"/>
  <cols>
    <col min="4" max="4" width="45" customWidth="1"/>
    <col min="5" max="5" width="35" customWidth="1"/>
    <col min="7" max="15" width="18" customWidth="1"/>
    <col min="16" max="30" width="20.5703125" customWidth="1"/>
    <col min="31" max="33" width="20.5703125" style="61" customWidth="1"/>
    <col min="34" max="34" width="20.5703125" style="72" customWidth="1"/>
  </cols>
  <sheetData>
    <row r="1" spans="1:34" ht="96.75" customHeight="1" x14ac:dyDescent="0.25">
      <c r="A1" s="105" t="s">
        <v>723</v>
      </c>
      <c r="B1" s="188" t="s">
        <v>711</v>
      </c>
      <c r="C1" s="105" t="s">
        <v>724</v>
      </c>
      <c r="D1" s="105" t="s">
        <v>117</v>
      </c>
      <c r="E1" s="197" t="s">
        <v>725</v>
      </c>
      <c r="F1" s="105" t="s">
        <v>726</v>
      </c>
      <c r="G1" s="102" t="s">
        <v>727</v>
      </c>
      <c r="H1" s="102" t="s">
        <v>728</v>
      </c>
      <c r="I1" s="102" t="s">
        <v>729</v>
      </c>
      <c r="J1" s="106" t="s">
        <v>730</v>
      </c>
      <c r="K1" s="106" t="s">
        <v>731</v>
      </c>
      <c r="L1" s="106" t="s">
        <v>732</v>
      </c>
      <c r="M1" s="107" t="s">
        <v>733</v>
      </c>
      <c r="N1" s="107" t="s">
        <v>734</v>
      </c>
      <c r="O1" s="107" t="s">
        <v>735</v>
      </c>
      <c r="P1" s="108" t="s">
        <v>736</v>
      </c>
      <c r="Q1" s="108" t="s">
        <v>737</v>
      </c>
      <c r="R1" s="108" t="s">
        <v>738</v>
      </c>
      <c r="S1" s="47" t="s">
        <v>739</v>
      </c>
      <c r="T1" s="47" t="s">
        <v>740</v>
      </c>
      <c r="U1" s="47" t="s">
        <v>741</v>
      </c>
      <c r="V1" s="109" t="s">
        <v>742</v>
      </c>
      <c r="W1" s="109" t="s">
        <v>743</v>
      </c>
      <c r="X1" s="109" t="s">
        <v>744</v>
      </c>
      <c r="Y1" s="107" t="s">
        <v>745</v>
      </c>
      <c r="Z1" s="107" t="s">
        <v>746</v>
      </c>
      <c r="AA1" s="107" t="s">
        <v>747</v>
      </c>
      <c r="AB1" s="109" t="s">
        <v>748</v>
      </c>
      <c r="AC1" s="109" t="s">
        <v>749</v>
      </c>
      <c r="AD1" s="109" t="s">
        <v>750</v>
      </c>
      <c r="AE1" s="107" t="s">
        <v>751</v>
      </c>
      <c r="AF1" s="109" t="s">
        <v>752</v>
      </c>
      <c r="AG1" s="110" t="s">
        <v>753</v>
      </c>
      <c r="AH1" s="191" t="s">
        <v>754</v>
      </c>
    </row>
    <row r="2" spans="1:34" x14ac:dyDescent="0.25">
      <c r="A2" s="178" t="s">
        <v>140</v>
      </c>
      <c r="B2" s="101">
        <v>60001</v>
      </c>
      <c r="C2" s="101">
        <v>22</v>
      </c>
      <c r="D2" t="s">
        <v>288</v>
      </c>
      <c r="E2" t="s">
        <v>289</v>
      </c>
      <c r="F2" t="s">
        <v>755</v>
      </c>
      <c r="G2" s="179">
        <v>348718936</v>
      </c>
      <c r="H2" s="179">
        <v>-19616401</v>
      </c>
      <c r="I2" s="179">
        <v>27371595</v>
      </c>
      <c r="J2" s="179">
        <v>338625286</v>
      </c>
      <c r="K2" s="179">
        <v>-25440613</v>
      </c>
      <c r="L2" s="179">
        <v>22999141</v>
      </c>
      <c r="M2" s="179">
        <v>361247072</v>
      </c>
      <c r="N2" s="179">
        <v>8551619</v>
      </c>
      <c r="O2" s="179">
        <v>18948470</v>
      </c>
      <c r="P2" s="179">
        <v>639354872.58999991</v>
      </c>
      <c r="Q2" s="179">
        <v>-10443748.41</v>
      </c>
      <c r="R2" s="179">
        <v>44320700</v>
      </c>
      <c r="S2" s="179">
        <v>601531500</v>
      </c>
      <c r="T2" s="179">
        <v>-29502340</v>
      </c>
      <c r="U2" s="179">
        <v>38925678</v>
      </c>
      <c r="V2" s="179">
        <v>649270863</v>
      </c>
      <c r="W2" s="179">
        <v>23874481</v>
      </c>
      <c r="X2" s="179">
        <v>31769258</v>
      </c>
      <c r="Y2" s="180">
        <v>1048591294</v>
      </c>
      <c r="Z2" s="180">
        <v>-36505395</v>
      </c>
      <c r="AA2" s="180">
        <v>69319206</v>
      </c>
      <c r="AB2" s="180">
        <v>1890157235.5899999</v>
      </c>
      <c r="AC2" s="180">
        <v>-16071607.409999996</v>
      </c>
      <c r="AD2" s="180">
        <v>115015636</v>
      </c>
      <c r="AE2" s="100">
        <v>3.1293232346825114E-2</v>
      </c>
      <c r="AF2" s="100">
        <v>5.234698295304268E-2</v>
      </c>
      <c r="AG2" s="100">
        <v>5.234698295304268E-2</v>
      </c>
    </row>
    <row r="3" spans="1:34" x14ac:dyDescent="0.25">
      <c r="A3" s="178" t="s">
        <v>290</v>
      </c>
      <c r="B3" s="101">
        <v>60003</v>
      </c>
      <c r="C3" s="101">
        <v>60</v>
      </c>
      <c r="D3" t="s">
        <v>291</v>
      </c>
      <c r="E3" t="s">
        <v>292</v>
      </c>
      <c r="F3" t="s">
        <v>755</v>
      </c>
      <c r="G3" s="179">
        <v>139995514.72</v>
      </c>
      <c r="H3" s="179">
        <v>2240144.2999999998</v>
      </c>
      <c r="I3" s="179">
        <v>12394420.84</v>
      </c>
      <c r="J3" s="179">
        <v>136812011</v>
      </c>
      <c r="K3" s="179">
        <v>-13826800</v>
      </c>
      <c r="L3" s="179">
        <v>11497989</v>
      </c>
      <c r="M3" s="179">
        <v>119421957</v>
      </c>
      <c r="N3" s="179">
        <v>-18589949</v>
      </c>
      <c r="O3" s="179">
        <v>13175098</v>
      </c>
      <c r="P3" s="179">
        <v>2561469913.9053001</v>
      </c>
      <c r="Q3" s="179">
        <v>376557681.68529999</v>
      </c>
      <c r="R3" s="179">
        <v>133102210.90000001</v>
      </c>
      <c r="S3" s="179">
        <v>2704321897</v>
      </c>
      <c r="T3" s="179">
        <v>305599897</v>
      </c>
      <c r="U3" s="179">
        <v>127768694</v>
      </c>
      <c r="V3" s="179">
        <v>2734144193</v>
      </c>
      <c r="W3" s="179">
        <v>246525141</v>
      </c>
      <c r="X3" s="179">
        <v>134335700</v>
      </c>
      <c r="Y3" s="180">
        <v>396229482.72000003</v>
      </c>
      <c r="Z3" s="180">
        <v>-30176604.699999999</v>
      </c>
      <c r="AA3" s="180">
        <v>37067507.840000004</v>
      </c>
      <c r="AB3" s="180">
        <v>7999936003.9053001</v>
      </c>
      <c r="AC3" s="180">
        <v>928682719.68529999</v>
      </c>
      <c r="AD3" s="180">
        <v>395206604.89999998</v>
      </c>
      <c r="AE3" s="100">
        <v>1.7391192327981149E-2</v>
      </c>
      <c r="AF3" s="100">
        <v>0.16548748939229285</v>
      </c>
      <c r="AG3" s="100">
        <v>0.16548748939229285</v>
      </c>
    </row>
    <row r="4" spans="1:34" x14ac:dyDescent="0.25">
      <c r="A4" s="178" t="s">
        <v>293</v>
      </c>
      <c r="B4" s="101">
        <v>60004</v>
      </c>
      <c r="C4" s="101">
        <v>74</v>
      </c>
      <c r="D4" t="s">
        <v>294</v>
      </c>
      <c r="E4" t="s">
        <v>295</v>
      </c>
      <c r="F4" t="s">
        <v>755</v>
      </c>
      <c r="G4" s="179">
        <v>158187450.03</v>
      </c>
      <c r="H4" s="179">
        <v>9606496.5700000003</v>
      </c>
      <c r="I4" s="179">
        <v>10893842.390000001</v>
      </c>
      <c r="J4" s="179">
        <v>166806376</v>
      </c>
      <c r="K4" s="179">
        <v>-14569127</v>
      </c>
      <c r="L4" s="179">
        <v>7917136</v>
      </c>
      <c r="M4" s="179">
        <v>179418930</v>
      </c>
      <c r="N4" s="179">
        <v>-12516108</v>
      </c>
      <c r="O4" s="179">
        <v>8058138</v>
      </c>
      <c r="P4" s="179">
        <v>2071300143.8400002</v>
      </c>
      <c r="Q4" s="179">
        <v>66839712.039999999</v>
      </c>
      <c r="R4" s="179">
        <v>226924874.51000002</v>
      </c>
      <c r="S4" s="179">
        <v>2080006963</v>
      </c>
      <c r="T4" s="179">
        <v>-148690458</v>
      </c>
      <c r="U4" s="179">
        <v>121751567</v>
      </c>
      <c r="V4" s="179">
        <v>2128323837</v>
      </c>
      <c r="W4" s="179">
        <v>-215596377</v>
      </c>
      <c r="X4" s="179">
        <v>135772215</v>
      </c>
      <c r="Y4" s="180">
        <v>504412756.02999997</v>
      </c>
      <c r="Z4" s="180">
        <v>-17478738.43</v>
      </c>
      <c r="AA4" s="180">
        <v>26869116.390000001</v>
      </c>
      <c r="AB4" s="180">
        <v>6279630943.8400002</v>
      </c>
      <c r="AC4" s="180">
        <v>-297447122.96000004</v>
      </c>
      <c r="AD4" s="180">
        <v>484448656.50999999</v>
      </c>
      <c r="AE4" s="100">
        <v>1.8616456161631066E-2</v>
      </c>
      <c r="AF4" s="100">
        <v>2.9779064282979717E-2</v>
      </c>
      <c r="AG4" s="100">
        <v>2.9779064282979717E-2</v>
      </c>
    </row>
    <row r="5" spans="1:34" x14ac:dyDescent="0.25">
      <c r="A5" s="178" t="s">
        <v>296</v>
      </c>
      <c r="B5" s="101">
        <v>60006</v>
      </c>
      <c r="C5" s="101">
        <v>21</v>
      </c>
      <c r="D5" t="s">
        <v>297</v>
      </c>
      <c r="E5">
        <v>0</v>
      </c>
      <c r="F5" t="s">
        <v>755</v>
      </c>
      <c r="G5" s="179">
        <v>150154705.22</v>
      </c>
      <c r="H5" s="179">
        <v>14348070.344000001</v>
      </c>
      <c r="I5" s="179">
        <v>4960895.5999999996</v>
      </c>
      <c r="J5" s="179">
        <v>155374415</v>
      </c>
      <c r="K5" s="179">
        <v>7084618</v>
      </c>
      <c r="L5" s="179">
        <v>4906475</v>
      </c>
      <c r="M5" s="179">
        <v>142986874</v>
      </c>
      <c r="N5" s="179">
        <v>-4415423.22</v>
      </c>
      <c r="O5" s="179">
        <v>5014382</v>
      </c>
      <c r="P5" s="179">
        <v>0</v>
      </c>
      <c r="Q5" s="179">
        <v>0</v>
      </c>
      <c r="R5" s="179">
        <v>0</v>
      </c>
      <c r="S5" s="179">
        <v>0</v>
      </c>
      <c r="T5" s="179">
        <v>0</v>
      </c>
      <c r="U5" s="179">
        <v>0</v>
      </c>
      <c r="V5" s="179">
        <v>0</v>
      </c>
      <c r="W5" s="179">
        <v>0</v>
      </c>
      <c r="X5" s="179">
        <v>0</v>
      </c>
      <c r="Y5" s="180">
        <v>448515994.22000003</v>
      </c>
      <c r="Z5" s="180">
        <v>17017265.124000002</v>
      </c>
      <c r="AA5" s="180">
        <v>14881752.6</v>
      </c>
      <c r="AB5" s="180">
        <v>0</v>
      </c>
      <c r="AC5" s="180">
        <v>0</v>
      </c>
      <c r="AD5" s="180">
        <v>0</v>
      </c>
      <c r="AE5" s="100">
        <v>7.1121249041462997E-2</v>
      </c>
      <c r="AF5" s="100" t="s">
        <v>756</v>
      </c>
      <c r="AG5" s="100">
        <v>7.1121249041462997E-2</v>
      </c>
    </row>
    <row r="6" spans="1:34" x14ac:dyDescent="0.25">
      <c r="A6" s="178" t="s">
        <v>298</v>
      </c>
      <c r="B6" s="101">
        <v>60008</v>
      </c>
      <c r="C6" s="101">
        <v>80</v>
      </c>
      <c r="D6" t="s">
        <v>299</v>
      </c>
      <c r="E6" t="s">
        <v>300</v>
      </c>
      <c r="F6" t="s">
        <v>755</v>
      </c>
      <c r="G6" s="179">
        <v>105026054.29000001</v>
      </c>
      <c r="H6" s="179">
        <v>5562516.29</v>
      </c>
      <c r="I6" s="179">
        <v>3773054</v>
      </c>
      <c r="J6" s="179">
        <v>109516710</v>
      </c>
      <c r="K6" s="179">
        <v>1522216</v>
      </c>
      <c r="L6" s="179">
        <v>4096398</v>
      </c>
      <c r="M6" s="179">
        <v>112579282</v>
      </c>
      <c r="N6" s="179">
        <v>-194683</v>
      </c>
      <c r="O6" s="179">
        <v>4581415</v>
      </c>
      <c r="P6" s="179">
        <v>117630879.29000001</v>
      </c>
      <c r="Q6" s="179">
        <v>8065085.29</v>
      </c>
      <c r="R6" s="179">
        <v>4326782</v>
      </c>
      <c r="S6" s="179">
        <v>124232473</v>
      </c>
      <c r="T6" s="179">
        <v>3685955</v>
      </c>
      <c r="U6" s="179">
        <v>4599920</v>
      </c>
      <c r="V6" s="179">
        <v>127189330</v>
      </c>
      <c r="W6" s="179">
        <v>1129837</v>
      </c>
      <c r="X6" s="179">
        <v>5214557</v>
      </c>
      <c r="Y6" s="180">
        <v>327122046.29000002</v>
      </c>
      <c r="Z6" s="180">
        <v>6890049.29</v>
      </c>
      <c r="AA6" s="180">
        <v>12450867</v>
      </c>
      <c r="AB6" s="180">
        <v>369052682.29000002</v>
      </c>
      <c r="AC6" s="180">
        <v>12880877.289999999</v>
      </c>
      <c r="AD6" s="180">
        <v>14141259</v>
      </c>
      <c r="AE6" s="100">
        <v>5.9124465958047663E-2</v>
      </c>
      <c r="AF6" s="100">
        <v>7.3220267963710714E-2</v>
      </c>
      <c r="AG6" s="100">
        <v>7.3220267963710714E-2</v>
      </c>
    </row>
    <row r="7" spans="1:34" x14ac:dyDescent="0.25">
      <c r="A7" s="178" t="s">
        <v>301</v>
      </c>
      <c r="B7" s="101">
        <v>60009</v>
      </c>
      <c r="C7" s="101">
        <v>50</v>
      </c>
      <c r="D7" t="s">
        <v>302</v>
      </c>
      <c r="E7" t="s">
        <v>295</v>
      </c>
      <c r="F7" t="s">
        <v>755</v>
      </c>
      <c r="G7" s="179">
        <v>427069011.44999999</v>
      </c>
      <c r="H7" s="179">
        <v>-107725678.48</v>
      </c>
      <c r="I7" s="179">
        <v>137420845.84</v>
      </c>
      <c r="J7" s="179">
        <v>433987739</v>
      </c>
      <c r="K7" s="179">
        <v>-66037298</v>
      </c>
      <c r="L7" s="179">
        <v>38821757</v>
      </c>
      <c r="M7" s="179">
        <v>436154833</v>
      </c>
      <c r="N7" s="179">
        <v>-91244115</v>
      </c>
      <c r="O7" s="179">
        <v>43723763</v>
      </c>
      <c r="P7" s="179">
        <v>2071300143.8400002</v>
      </c>
      <c r="Q7" s="179">
        <v>66839712.039999999</v>
      </c>
      <c r="R7" s="179">
        <v>226924874.51000002</v>
      </c>
      <c r="S7" s="179">
        <v>2080006963</v>
      </c>
      <c r="T7" s="179">
        <v>-148690458</v>
      </c>
      <c r="U7" s="179">
        <v>121751567</v>
      </c>
      <c r="V7" s="179">
        <v>2128323837</v>
      </c>
      <c r="W7" s="179">
        <v>-215596377</v>
      </c>
      <c r="X7" s="179">
        <v>135772215</v>
      </c>
      <c r="Y7" s="180">
        <v>1297211583.45</v>
      </c>
      <c r="Z7" s="180">
        <v>-265007091.48000002</v>
      </c>
      <c r="AA7" s="180">
        <v>219966365.84</v>
      </c>
      <c r="AB7" s="180">
        <v>6279630943.8400002</v>
      </c>
      <c r="AC7" s="180">
        <v>-297447122.96000004</v>
      </c>
      <c r="AD7" s="180">
        <v>484448656.50999999</v>
      </c>
      <c r="AE7" s="100">
        <v>-3.4721186747509548E-2</v>
      </c>
      <c r="AF7" s="100">
        <v>2.9779064282979717E-2</v>
      </c>
      <c r="AG7" s="100">
        <v>2.9779064282979717E-2</v>
      </c>
    </row>
    <row r="8" spans="1:34" x14ac:dyDescent="0.25">
      <c r="A8" s="178" t="s">
        <v>142</v>
      </c>
      <c r="B8" s="101">
        <v>60010</v>
      </c>
      <c r="C8" s="101">
        <v>25</v>
      </c>
      <c r="D8" t="s">
        <v>303</v>
      </c>
      <c r="E8" t="s">
        <v>304</v>
      </c>
      <c r="F8" t="s">
        <v>755</v>
      </c>
      <c r="G8" s="179">
        <v>689963669</v>
      </c>
      <c r="H8" s="179">
        <v>104014286</v>
      </c>
      <c r="I8" s="179">
        <v>25581064</v>
      </c>
      <c r="J8" s="179">
        <v>728414553</v>
      </c>
      <c r="K8" s="179">
        <v>62223019</v>
      </c>
      <c r="L8" s="179">
        <v>29960833</v>
      </c>
      <c r="M8" s="179">
        <v>768955862</v>
      </c>
      <c r="N8" s="179">
        <v>63069377</v>
      </c>
      <c r="O8" s="179">
        <v>37967892</v>
      </c>
      <c r="P8" s="179">
        <v>5838465865.9127998</v>
      </c>
      <c r="Q8" s="179">
        <v>539097448.80279994</v>
      </c>
      <c r="R8" s="179">
        <v>272047729.13999999</v>
      </c>
      <c r="S8" s="179">
        <v>6245148159.3099995</v>
      </c>
      <c r="T8" s="179">
        <v>252995149.78999913</v>
      </c>
      <c r="U8" s="179">
        <v>297779313.77999997</v>
      </c>
      <c r="V8" s="179">
        <v>6731516165</v>
      </c>
      <c r="W8" s="179">
        <v>281360024</v>
      </c>
      <c r="X8" s="179">
        <v>350330059</v>
      </c>
      <c r="Y8" s="180">
        <v>2187334084</v>
      </c>
      <c r="Z8" s="180">
        <v>229306682</v>
      </c>
      <c r="AA8" s="180">
        <v>93509789</v>
      </c>
      <c r="AB8" s="180">
        <v>18815130190.222801</v>
      </c>
      <c r="AC8" s="180">
        <v>1073452622.5927991</v>
      </c>
      <c r="AD8" s="180">
        <v>920157101.91999996</v>
      </c>
      <c r="AE8" s="100">
        <v>0.14758443776894942</v>
      </c>
      <c r="AF8" s="100">
        <v>0.1059577958992157</v>
      </c>
      <c r="AG8" s="100">
        <v>0.14758443776894942</v>
      </c>
    </row>
    <row r="9" spans="1:34" x14ac:dyDescent="0.25">
      <c r="A9" s="178" t="s">
        <v>143</v>
      </c>
      <c r="B9" s="101">
        <v>60011</v>
      </c>
      <c r="C9" s="101">
        <v>7</v>
      </c>
      <c r="D9" t="s">
        <v>305</v>
      </c>
      <c r="E9">
        <v>0</v>
      </c>
      <c r="F9" t="s">
        <v>755</v>
      </c>
      <c r="G9" s="179">
        <v>1219872350.9993999</v>
      </c>
      <c r="H9" s="179">
        <v>-22710547.000599999</v>
      </c>
      <c r="I9" s="179">
        <v>60063859.219999999</v>
      </c>
      <c r="J9" s="179">
        <v>1283760068</v>
      </c>
      <c r="K9" s="179">
        <v>-37789548</v>
      </c>
      <c r="L9" s="179">
        <v>64900480</v>
      </c>
      <c r="M9" s="179">
        <v>1397840951</v>
      </c>
      <c r="N9" s="179">
        <v>-17598447</v>
      </c>
      <c r="O9" s="179">
        <v>61005248</v>
      </c>
      <c r="P9" s="179">
        <v>0</v>
      </c>
      <c r="Q9" s="179">
        <v>0</v>
      </c>
      <c r="R9" s="179">
        <v>0</v>
      </c>
      <c r="S9" s="179">
        <v>0</v>
      </c>
      <c r="T9" s="179">
        <v>0</v>
      </c>
      <c r="U9" s="179">
        <v>0</v>
      </c>
      <c r="V9" s="179">
        <v>0</v>
      </c>
      <c r="W9" s="179">
        <v>0</v>
      </c>
      <c r="X9" s="179">
        <v>0</v>
      </c>
      <c r="Y9" s="180">
        <v>3901473369.9994001</v>
      </c>
      <c r="Z9" s="180">
        <v>-78098542.000599995</v>
      </c>
      <c r="AA9" s="180">
        <v>185969587.22</v>
      </c>
      <c r="AB9" s="180">
        <v>0</v>
      </c>
      <c r="AC9" s="180">
        <v>0</v>
      </c>
      <c r="AD9" s="180">
        <v>0</v>
      </c>
      <c r="AE9" s="100">
        <v>2.7648797002917027E-2</v>
      </c>
      <c r="AF9" s="100" t="s">
        <v>756</v>
      </c>
      <c r="AG9" s="100">
        <v>2.7648797002917027E-2</v>
      </c>
    </row>
    <row r="10" spans="1:34" x14ac:dyDescent="0.25">
      <c r="A10" s="178" t="s">
        <v>144</v>
      </c>
      <c r="B10" s="101">
        <v>60012</v>
      </c>
      <c r="C10" s="101">
        <v>90</v>
      </c>
      <c r="D10" t="s">
        <v>306</v>
      </c>
      <c r="E10" t="s">
        <v>292</v>
      </c>
      <c r="F10" t="s">
        <v>755</v>
      </c>
      <c r="G10" s="179">
        <v>141964400.22999999</v>
      </c>
      <c r="H10" s="179">
        <v>-2387575.77</v>
      </c>
      <c r="I10" s="179">
        <v>8294764.7300000004</v>
      </c>
      <c r="J10" s="179">
        <v>148605468</v>
      </c>
      <c r="K10" s="179">
        <v>-5518261</v>
      </c>
      <c r="L10" s="179">
        <v>8512883</v>
      </c>
      <c r="M10" s="179">
        <v>134997621</v>
      </c>
      <c r="N10" s="179">
        <v>-7772741</v>
      </c>
      <c r="O10" s="179">
        <v>8047960</v>
      </c>
      <c r="P10" s="179">
        <v>2561469913.9053001</v>
      </c>
      <c r="Q10" s="179">
        <v>376557681.68529999</v>
      </c>
      <c r="R10" s="179">
        <v>133102210.90000001</v>
      </c>
      <c r="S10" s="179">
        <v>2704321897</v>
      </c>
      <c r="T10" s="179">
        <v>305599897</v>
      </c>
      <c r="U10" s="179">
        <v>127768694</v>
      </c>
      <c r="V10" s="179">
        <v>2734144193</v>
      </c>
      <c r="W10" s="179">
        <v>246525141</v>
      </c>
      <c r="X10" s="179">
        <v>134335700</v>
      </c>
      <c r="Y10" s="180">
        <v>425567489.23000002</v>
      </c>
      <c r="Z10" s="180">
        <v>-15678577.77</v>
      </c>
      <c r="AA10" s="180">
        <v>24855607.73</v>
      </c>
      <c r="AB10" s="180">
        <v>7999936003.9053001</v>
      </c>
      <c r="AC10" s="180">
        <v>928682719.68529999</v>
      </c>
      <c r="AD10" s="180">
        <v>395206604.89999998</v>
      </c>
      <c r="AE10" s="100">
        <v>2.1564217644079082E-2</v>
      </c>
      <c r="AF10" s="100">
        <v>0.16548748939229285</v>
      </c>
      <c r="AG10" s="100">
        <v>0.16548748939229285</v>
      </c>
    </row>
    <row r="11" spans="1:34" x14ac:dyDescent="0.25">
      <c r="A11" s="178" t="s">
        <v>307</v>
      </c>
      <c r="B11" s="101">
        <v>60013</v>
      </c>
      <c r="C11" s="101">
        <v>63</v>
      </c>
      <c r="D11" t="s">
        <v>308</v>
      </c>
      <c r="E11" t="s">
        <v>292</v>
      </c>
      <c r="F11" t="s">
        <v>755</v>
      </c>
      <c r="G11" s="179">
        <v>284020488.75</v>
      </c>
      <c r="H11" s="179">
        <v>59218609.460000001</v>
      </c>
      <c r="I11" s="179">
        <v>8782833.2100000009</v>
      </c>
      <c r="J11" s="179">
        <v>305153026</v>
      </c>
      <c r="K11" s="179">
        <v>49252010</v>
      </c>
      <c r="L11" s="179">
        <v>9478115</v>
      </c>
      <c r="M11" s="179">
        <v>307845277</v>
      </c>
      <c r="N11" s="179">
        <v>44528050</v>
      </c>
      <c r="O11" s="179">
        <v>11692404</v>
      </c>
      <c r="P11" s="179">
        <v>2561469913.9053001</v>
      </c>
      <c r="Q11" s="179">
        <v>376557681.68529999</v>
      </c>
      <c r="R11" s="179">
        <v>133102210.90000001</v>
      </c>
      <c r="S11" s="179">
        <v>2704321897</v>
      </c>
      <c r="T11" s="179">
        <v>305599897</v>
      </c>
      <c r="U11" s="179">
        <v>127768694</v>
      </c>
      <c r="V11" s="179">
        <v>2734144193</v>
      </c>
      <c r="W11" s="179">
        <v>246525141</v>
      </c>
      <c r="X11" s="179">
        <v>134335700</v>
      </c>
      <c r="Y11" s="180">
        <v>897018791.75</v>
      </c>
      <c r="Z11" s="180">
        <v>152998669.46000001</v>
      </c>
      <c r="AA11" s="180">
        <v>29953352.210000001</v>
      </c>
      <c r="AB11" s="180">
        <v>7999936003.9053001</v>
      </c>
      <c r="AC11" s="180">
        <v>928682719.68529999</v>
      </c>
      <c r="AD11" s="180">
        <v>395206604.89999998</v>
      </c>
      <c r="AE11" s="100">
        <v>0.20395561759980266</v>
      </c>
      <c r="AF11" s="100">
        <v>0.16548748939229285</v>
      </c>
      <c r="AG11" s="100">
        <v>0.20395561759980266</v>
      </c>
    </row>
    <row r="12" spans="1:34" x14ac:dyDescent="0.25">
      <c r="A12" s="178" t="s">
        <v>145</v>
      </c>
      <c r="B12" s="101">
        <v>60014</v>
      </c>
      <c r="C12" s="101">
        <v>89</v>
      </c>
      <c r="D12" t="s">
        <v>309</v>
      </c>
      <c r="E12" t="s">
        <v>310</v>
      </c>
      <c r="F12" t="s">
        <v>755</v>
      </c>
      <c r="G12" s="179">
        <v>653715000</v>
      </c>
      <c r="H12" s="179">
        <v>159307000</v>
      </c>
      <c r="I12" s="179">
        <v>29999000</v>
      </c>
      <c r="J12" s="179">
        <v>716167000</v>
      </c>
      <c r="K12" s="179">
        <v>185378000</v>
      </c>
      <c r="L12" s="179">
        <v>31097000</v>
      </c>
      <c r="M12" s="179">
        <v>693140000</v>
      </c>
      <c r="N12" s="179">
        <v>143592000</v>
      </c>
      <c r="O12" s="179">
        <v>31907000</v>
      </c>
      <c r="P12" s="179">
        <v>3022116000</v>
      </c>
      <c r="Q12" s="179">
        <v>641825000</v>
      </c>
      <c r="R12" s="179">
        <v>147227000</v>
      </c>
      <c r="S12" s="179">
        <v>3039909000</v>
      </c>
      <c r="T12" s="179">
        <v>544900000</v>
      </c>
      <c r="U12" s="179">
        <v>156154000</v>
      </c>
      <c r="V12" s="179">
        <v>3049875000</v>
      </c>
      <c r="W12" s="179">
        <v>428144000</v>
      </c>
      <c r="X12" s="179">
        <v>160040000</v>
      </c>
      <c r="Y12" s="180">
        <v>2063022000</v>
      </c>
      <c r="Z12" s="180">
        <v>488277000</v>
      </c>
      <c r="AA12" s="180">
        <v>93003000</v>
      </c>
      <c r="AB12" s="180">
        <v>9111900000</v>
      </c>
      <c r="AC12" s="180">
        <v>1614869000</v>
      </c>
      <c r="AD12" s="180">
        <v>463421000</v>
      </c>
      <c r="AE12" s="100">
        <v>0.28176141601980009</v>
      </c>
      <c r="AF12" s="100">
        <v>0.22808525115508291</v>
      </c>
      <c r="AG12" s="100">
        <v>0.28176141601980009</v>
      </c>
    </row>
    <row r="13" spans="1:34" x14ac:dyDescent="0.25">
      <c r="A13" s="178" t="s">
        <v>146</v>
      </c>
      <c r="B13" s="101">
        <v>60015</v>
      </c>
      <c r="C13" s="101">
        <v>86</v>
      </c>
      <c r="D13" t="s">
        <v>311</v>
      </c>
      <c r="E13" t="s">
        <v>292</v>
      </c>
      <c r="F13" t="s">
        <v>755</v>
      </c>
      <c r="G13" s="179">
        <v>504796446.89999998</v>
      </c>
      <c r="H13" s="179">
        <v>69456223.590000004</v>
      </c>
      <c r="I13" s="179">
        <v>21994005.25</v>
      </c>
      <c r="J13" s="179">
        <v>533469369</v>
      </c>
      <c r="K13" s="179">
        <v>48273724</v>
      </c>
      <c r="L13" s="179">
        <v>24884030</v>
      </c>
      <c r="M13" s="179">
        <v>523649477</v>
      </c>
      <c r="N13" s="179">
        <v>11010207</v>
      </c>
      <c r="O13" s="179">
        <v>26626535</v>
      </c>
      <c r="P13" s="179">
        <v>2561469913.9053001</v>
      </c>
      <c r="Q13" s="179">
        <v>376557681.68529999</v>
      </c>
      <c r="R13" s="179">
        <v>133102210.90000001</v>
      </c>
      <c r="S13" s="179">
        <v>2704321897</v>
      </c>
      <c r="T13" s="179">
        <v>305599897</v>
      </c>
      <c r="U13" s="179">
        <v>127768694</v>
      </c>
      <c r="V13" s="179">
        <v>2734144193</v>
      </c>
      <c r="W13" s="179">
        <v>246525141</v>
      </c>
      <c r="X13" s="179">
        <v>134335700</v>
      </c>
      <c r="Y13" s="180">
        <v>1561915292.9000001</v>
      </c>
      <c r="Z13" s="180">
        <v>128740154.59</v>
      </c>
      <c r="AA13" s="180">
        <v>73504570.25</v>
      </c>
      <c r="AB13" s="180">
        <v>7999936003.9053001</v>
      </c>
      <c r="AC13" s="180">
        <v>928682719.68529999</v>
      </c>
      <c r="AD13" s="180">
        <v>395206604.89999998</v>
      </c>
      <c r="AE13" s="100">
        <v>0.12948507883836213</v>
      </c>
      <c r="AF13" s="100">
        <v>0.16548748939229285</v>
      </c>
      <c r="AG13" s="100">
        <v>0.16548748939229285</v>
      </c>
    </row>
    <row r="14" spans="1:34" s="54" customFormat="1" x14ac:dyDescent="0.25">
      <c r="A14" s="183" t="s">
        <v>147</v>
      </c>
      <c r="B14" s="104">
        <v>60020</v>
      </c>
      <c r="C14" s="104">
        <v>70</v>
      </c>
      <c r="D14" s="54" t="s">
        <v>312</v>
      </c>
      <c r="E14" s="6" t="s">
        <v>304</v>
      </c>
      <c r="F14" s="54" t="s">
        <v>755</v>
      </c>
      <c r="G14" s="215">
        <v>522487278.68279999</v>
      </c>
      <c r="H14" s="215">
        <v>28039949.572799999</v>
      </c>
      <c r="I14" s="215">
        <v>17106511.140000001</v>
      </c>
      <c r="J14" s="215">
        <v>525981906.30999923</v>
      </c>
      <c r="K14" s="215">
        <v>-33849504.210000873</v>
      </c>
      <c r="L14" s="215">
        <v>16627381.779999999</v>
      </c>
      <c r="M14" s="215">
        <v>417371570</v>
      </c>
      <c r="N14" s="215">
        <v>-20571492</v>
      </c>
      <c r="O14" s="215">
        <v>19300885</v>
      </c>
      <c r="P14" s="216">
        <v>5838465865.9127998</v>
      </c>
      <c r="Q14" s="216">
        <v>539097448.80279994</v>
      </c>
      <c r="R14" s="216">
        <v>272047729.13999999</v>
      </c>
      <c r="S14" s="216">
        <v>6245148159.3099995</v>
      </c>
      <c r="T14" s="216">
        <v>252995149.78999913</v>
      </c>
      <c r="U14" s="216">
        <v>297779313.77999997</v>
      </c>
      <c r="V14" s="216">
        <v>6731516165</v>
      </c>
      <c r="W14" s="216">
        <v>281360024</v>
      </c>
      <c r="X14" s="216">
        <v>350330059</v>
      </c>
      <c r="Y14" s="217">
        <v>1465840754.9927993</v>
      </c>
      <c r="Z14" s="217">
        <v>-26381046.637200873</v>
      </c>
      <c r="AA14" s="217">
        <v>53034777.920000002</v>
      </c>
      <c r="AB14" s="218">
        <v>18815130190.222801</v>
      </c>
      <c r="AC14" s="218">
        <v>1073452622.5927991</v>
      </c>
      <c r="AD14" s="218">
        <v>920157101.91999996</v>
      </c>
      <c r="AE14" s="219">
        <v>1.8183237975894634E-2</v>
      </c>
      <c r="AF14" s="167">
        <v>0.1059577958992157</v>
      </c>
      <c r="AG14" s="167">
        <v>0.1059577958992157</v>
      </c>
      <c r="AH14" s="220"/>
    </row>
    <row r="15" spans="1:34" x14ac:dyDescent="0.25">
      <c r="A15" s="178" t="s">
        <v>148</v>
      </c>
      <c r="B15" s="101">
        <v>60022</v>
      </c>
      <c r="C15" s="101">
        <v>19</v>
      </c>
      <c r="D15" t="s">
        <v>313</v>
      </c>
      <c r="E15" t="s">
        <v>304</v>
      </c>
      <c r="F15" t="s">
        <v>755</v>
      </c>
      <c r="G15" s="179">
        <v>1007804184</v>
      </c>
      <c r="H15" s="179">
        <v>83554368</v>
      </c>
      <c r="I15" s="179">
        <v>44255488</v>
      </c>
      <c r="J15" s="179">
        <v>1092172069</v>
      </c>
      <c r="K15" s="179">
        <v>20752272</v>
      </c>
      <c r="L15" s="179">
        <v>52203636</v>
      </c>
      <c r="M15" s="179">
        <v>1203106887</v>
      </c>
      <c r="N15" s="179">
        <v>17080530</v>
      </c>
      <c r="O15" s="179">
        <v>61129691</v>
      </c>
      <c r="P15" s="179">
        <v>5838465865.9127998</v>
      </c>
      <c r="Q15" s="179">
        <v>539097448.80279994</v>
      </c>
      <c r="R15" s="179">
        <v>272047729.13999999</v>
      </c>
      <c r="S15" s="179">
        <v>6245148159.3099995</v>
      </c>
      <c r="T15" s="179">
        <v>252995149.78999913</v>
      </c>
      <c r="U15" s="179">
        <v>297779313.77999997</v>
      </c>
      <c r="V15" s="179">
        <v>6731516165</v>
      </c>
      <c r="W15" s="179">
        <v>281360024</v>
      </c>
      <c r="X15" s="179">
        <v>350330059</v>
      </c>
      <c r="Y15" s="180">
        <v>3303083140</v>
      </c>
      <c r="Z15" s="180">
        <v>121387170</v>
      </c>
      <c r="AA15" s="180">
        <v>157588815</v>
      </c>
      <c r="AB15" s="180">
        <v>18815130190.222801</v>
      </c>
      <c r="AC15" s="180">
        <v>1073452622.5927991</v>
      </c>
      <c r="AD15" s="180">
        <v>920157101.91999996</v>
      </c>
      <c r="AE15" s="100">
        <v>8.4459268258079631E-2</v>
      </c>
      <c r="AF15" s="100">
        <v>0.1059577958992157</v>
      </c>
      <c r="AG15" s="100">
        <v>0.1059577958992157</v>
      </c>
    </row>
    <row r="16" spans="1:34" x14ac:dyDescent="0.25">
      <c r="A16" s="178" t="s">
        <v>149</v>
      </c>
      <c r="B16" s="101">
        <v>60023</v>
      </c>
      <c r="C16" s="101">
        <v>91</v>
      </c>
      <c r="D16" t="s">
        <v>314</v>
      </c>
      <c r="E16" t="s">
        <v>295</v>
      </c>
      <c r="F16" t="s">
        <v>755</v>
      </c>
      <c r="G16" s="179">
        <v>503293950.63</v>
      </c>
      <c r="H16" s="179">
        <v>48832403.020000003</v>
      </c>
      <c r="I16" s="179">
        <v>27081539.969999999</v>
      </c>
      <c r="J16" s="179">
        <v>524620723</v>
      </c>
      <c r="K16" s="179">
        <v>-17121018</v>
      </c>
      <c r="L16" s="179">
        <v>21589994</v>
      </c>
      <c r="M16" s="179">
        <v>547138072</v>
      </c>
      <c r="N16" s="179">
        <v>-27739868</v>
      </c>
      <c r="O16" s="179">
        <v>27348468</v>
      </c>
      <c r="P16" s="179">
        <v>2071300143.8400002</v>
      </c>
      <c r="Q16" s="179">
        <v>66839712.039999999</v>
      </c>
      <c r="R16" s="179">
        <v>226924874.51000002</v>
      </c>
      <c r="S16" s="179">
        <v>2080006963</v>
      </c>
      <c r="T16" s="179">
        <v>-148690458</v>
      </c>
      <c r="U16" s="179">
        <v>121751567</v>
      </c>
      <c r="V16" s="179">
        <v>2128323837</v>
      </c>
      <c r="W16" s="179">
        <v>-215596377</v>
      </c>
      <c r="X16" s="179">
        <v>135772215</v>
      </c>
      <c r="Y16" s="180">
        <v>1575052745.6300001</v>
      </c>
      <c r="Z16" s="180">
        <v>3971517.0200000033</v>
      </c>
      <c r="AA16" s="180">
        <v>76020001.969999999</v>
      </c>
      <c r="AB16" s="180">
        <v>6279630943.8400002</v>
      </c>
      <c r="AC16" s="180">
        <v>-297447122.96000004</v>
      </c>
      <c r="AD16" s="180">
        <v>484448656.50999999</v>
      </c>
      <c r="AE16" s="100">
        <v>5.0786565219442519E-2</v>
      </c>
      <c r="AF16" s="100">
        <v>2.9779064282979717E-2</v>
      </c>
      <c r="AG16" s="100">
        <v>5.0786565219442519E-2</v>
      </c>
    </row>
    <row r="17" spans="1:34" x14ac:dyDescent="0.25">
      <c r="A17" s="178" t="s">
        <v>150</v>
      </c>
      <c r="B17" s="101">
        <v>60024</v>
      </c>
      <c r="C17" s="101">
        <v>3</v>
      </c>
      <c r="D17" t="s">
        <v>315</v>
      </c>
      <c r="E17" t="s">
        <v>304</v>
      </c>
      <c r="F17" t="s">
        <v>755</v>
      </c>
      <c r="G17" s="179">
        <v>2366823263.23</v>
      </c>
      <c r="H17" s="179">
        <v>286443963.23000002</v>
      </c>
      <c r="I17" s="179">
        <v>77222861</v>
      </c>
      <c r="J17" s="179">
        <v>2520124520</v>
      </c>
      <c r="K17" s="179">
        <v>201768549</v>
      </c>
      <c r="L17" s="179">
        <v>88122712</v>
      </c>
      <c r="M17" s="179">
        <v>2856167362</v>
      </c>
      <c r="N17" s="179">
        <v>243577992</v>
      </c>
      <c r="O17" s="179">
        <v>116664008</v>
      </c>
      <c r="P17" s="179">
        <v>5838465865.9127998</v>
      </c>
      <c r="Q17" s="179">
        <v>539097448.80279994</v>
      </c>
      <c r="R17" s="179">
        <v>272047729.13999999</v>
      </c>
      <c r="S17" s="179">
        <v>6245148159.3099995</v>
      </c>
      <c r="T17" s="179">
        <v>252995149.78999913</v>
      </c>
      <c r="U17" s="179">
        <v>297779313.77999997</v>
      </c>
      <c r="V17" s="179">
        <v>6731516165</v>
      </c>
      <c r="W17" s="179">
        <v>281360024</v>
      </c>
      <c r="X17" s="179">
        <v>350330059</v>
      </c>
      <c r="Y17" s="180">
        <v>7743115145.2299995</v>
      </c>
      <c r="Z17" s="180">
        <v>731790504.23000002</v>
      </c>
      <c r="AA17" s="180">
        <v>282009581</v>
      </c>
      <c r="AB17" s="180">
        <v>18815130190.222801</v>
      </c>
      <c r="AC17" s="180">
        <v>1073452622.5927991</v>
      </c>
      <c r="AD17" s="180">
        <v>920157101.91999996</v>
      </c>
      <c r="AE17" s="100">
        <v>0.13092922760609244</v>
      </c>
      <c r="AF17" s="100">
        <v>0.1059577958992157</v>
      </c>
      <c r="AG17" s="100">
        <v>0.13092922760609244</v>
      </c>
    </row>
    <row r="18" spans="1:34" x14ac:dyDescent="0.25">
      <c r="A18" s="181" t="s">
        <v>316</v>
      </c>
      <c r="B18" s="136">
        <v>60027</v>
      </c>
      <c r="C18" s="101">
        <v>38</v>
      </c>
      <c r="D18" t="s">
        <v>317</v>
      </c>
      <c r="E18">
        <v>0</v>
      </c>
      <c r="F18" t="s">
        <v>755</v>
      </c>
      <c r="G18" s="179">
        <v>407059214</v>
      </c>
      <c r="H18" s="179">
        <v>7578259</v>
      </c>
      <c r="I18" s="179">
        <v>19707550</v>
      </c>
      <c r="J18" s="179">
        <v>418345592</v>
      </c>
      <c r="K18" s="179">
        <v>-6885128</v>
      </c>
      <c r="L18" s="179">
        <v>19252434</v>
      </c>
      <c r="M18" s="179">
        <v>446473002</v>
      </c>
      <c r="N18" s="179">
        <v>39536</v>
      </c>
      <c r="O18" s="179">
        <v>14500286</v>
      </c>
      <c r="P18" s="179">
        <v>0</v>
      </c>
      <c r="Q18" s="179">
        <v>0</v>
      </c>
      <c r="R18" s="179">
        <v>0</v>
      </c>
      <c r="S18" s="179">
        <v>0</v>
      </c>
      <c r="T18" s="179">
        <v>0</v>
      </c>
      <c r="U18" s="179">
        <v>0</v>
      </c>
      <c r="V18" s="179">
        <v>0</v>
      </c>
      <c r="W18" s="179">
        <v>0</v>
      </c>
      <c r="X18" s="179">
        <v>0</v>
      </c>
      <c r="Y18" s="180">
        <v>1271877808</v>
      </c>
      <c r="Z18" s="180">
        <v>732667</v>
      </c>
      <c r="AA18" s="180">
        <v>53460270</v>
      </c>
      <c r="AB18" s="180">
        <v>0</v>
      </c>
      <c r="AC18" s="180">
        <v>0</v>
      </c>
      <c r="AD18" s="180">
        <v>0</v>
      </c>
      <c r="AE18" s="100">
        <v>4.260860332583144E-2</v>
      </c>
      <c r="AF18" s="100" t="s">
        <v>756</v>
      </c>
      <c r="AG18" s="100">
        <v>4.260860332583144E-2</v>
      </c>
    </row>
    <row r="19" spans="1:34" x14ac:dyDescent="0.25">
      <c r="A19" s="181" t="s">
        <v>151</v>
      </c>
      <c r="B19" s="136">
        <v>60028</v>
      </c>
      <c r="C19" s="101">
        <v>43</v>
      </c>
      <c r="D19" t="s">
        <v>318</v>
      </c>
      <c r="E19" t="s">
        <v>295</v>
      </c>
      <c r="F19" t="s">
        <v>755</v>
      </c>
      <c r="G19" s="179">
        <v>639522083.19000006</v>
      </c>
      <c r="H19" s="179">
        <v>68194634.349999994</v>
      </c>
      <c r="I19" s="179">
        <v>36505851.5</v>
      </c>
      <c r="J19" s="179">
        <v>623259188</v>
      </c>
      <c r="K19" s="179">
        <v>-32283792</v>
      </c>
      <c r="L19" s="179">
        <v>35917712</v>
      </c>
      <c r="M19" s="179">
        <v>629148223</v>
      </c>
      <c r="N19" s="179">
        <v>-59096530</v>
      </c>
      <c r="O19" s="179">
        <v>37790498</v>
      </c>
      <c r="P19" s="179">
        <v>2071300143.8400002</v>
      </c>
      <c r="Q19" s="179">
        <v>66839712.039999999</v>
      </c>
      <c r="R19" s="179">
        <v>226924874.51000002</v>
      </c>
      <c r="S19" s="179">
        <v>2080006963</v>
      </c>
      <c r="T19" s="179">
        <v>-148690458</v>
      </c>
      <c r="U19" s="179">
        <v>121751567</v>
      </c>
      <c r="V19" s="179">
        <v>2128323837</v>
      </c>
      <c r="W19" s="179">
        <v>-215596377</v>
      </c>
      <c r="X19" s="179">
        <v>135772215</v>
      </c>
      <c r="Y19" s="180">
        <v>1891929494.1900001</v>
      </c>
      <c r="Z19" s="180">
        <v>-23185687.650000006</v>
      </c>
      <c r="AA19" s="180">
        <v>110214061.5</v>
      </c>
      <c r="AB19" s="180">
        <v>6279630943.8400002</v>
      </c>
      <c r="AC19" s="180">
        <v>-297447122.96000004</v>
      </c>
      <c r="AD19" s="180">
        <v>484448656.50999999</v>
      </c>
      <c r="AE19" s="100">
        <v>4.5999797623145482E-2</v>
      </c>
      <c r="AF19" s="100">
        <v>2.9779064282979717E-2</v>
      </c>
      <c r="AG19" s="100">
        <v>4.5999797623145482E-2</v>
      </c>
    </row>
    <row r="20" spans="1:34" x14ac:dyDescent="0.25">
      <c r="A20" s="178" t="s">
        <v>319</v>
      </c>
      <c r="B20" s="101">
        <v>60030</v>
      </c>
      <c r="C20" s="101">
        <v>61</v>
      </c>
      <c r="D20" t="s">
        <v>320</v>
      </c>
      <c r="E20" t="s">
        <v>289</v>
      </c>
      <c r="F20" t="s">
        <v>755</v>
      </c>
      <c r="G20" s="179">
        <v>135902091</v>
      </c>
      <c r="H20" s="179">
        <v>-3384173</v>
      </c>
      <c r="I20" s="179">
        <v>8695006</v>
      </c>
      <c r="J20" s="179">
        <v>109479484</v>
      </c>
      <c r="K20" s="179">
        <v>-9787276</v>
      </c>
      <c r="L20" s="179">
        <v>8083008</v>
      </c>
      <c r="M20" s="179">
        <v>119135093</v>
      </c>
      <c r="N20" s="179">
        <v>430280</v>
      </c>
      <c r="O20" s="179">
        <v>6413098</v>
      </c>
      <c r="P20" s="179">
        <v>639354872.58999991</v>
      </c>
      <c r="Q20" s="179">
        <v>-10443748.41</v>
      </c>
      <c r="R20" s="179">
        <v>44320700</v>
      </c>
      <c r="S20" s="179">
        <v>601531500</v>
      </c>
      <c r="T20" s="179">
        <v>-29502340</v>
      </c>
      <c r="U20" s="179">
        <v>38925678</v>
      </c>
      <c r="V20" s="179">
        <v>649270863</v>
      </c>
      <c r="W20" s="179">
        <v>23874481</v>
      </c>
      <c r="X20" s="179">
        <v>31769258</v>
      </c>
      <c r="Y20" s="180">
        <v>364516668</v>
      </c>
      <c r="Z20" s="180">
        <v>-12741169</v>
      </c>
      <c r="AA20" s="180">
        <v>23191112</v>
      </c>
      <c r="AB20" s="180">
        <v>1890157235.5899999</v>
      </c>
      <c r="AC20" s="180">
        <v>-16071607.409999996</v>
      </c>
      <c r="AD20" s="180">
        <v>115015636</v>
      </c>
      <c r="AE20" s="100">
        <v>2.8667942833275322E-2</v>
      </c>
      <c r="AF20" s="100">
        <v>5.234698295304268E-2</v>
      </c>
      <c r="AG20" s="100">
        <v>5.234698295304268E-2</v>
      </c>
    </row>
    <row r="21" spans="1:34" x14ac:dyDescent="0.25">
      <c r="A21" s="178" t="s">
        <v>152</v>
      </c>
      <c r="B21" s="101">
        <v>60031</v>
      </c>
      <c r="C21" s="101">
        <v>72</v>
      </c>
      <c r="D21" t="s">
        <v>321</v>
      </c>
      <c r="E21" t="s">
        <v>292</v>
      </c>
      <c r="F21" t="s">
        <v>755</v>
      </c>
      <c r="G21" s="179">
        <v>878838239.59000003</v>
      </c>
      <c r="H21" s="179">
        <v>93499654.709999993</v>
      </c>
      <c r="I21" s="179">
        <v>46044079.310000002</v>
      </c>
      <c r="J21" s="179">
        <v>917984373</v>
      </c>
      <c r="K21" s="179">
        <v>74962547</v>
      </c>
      <c r="L21" s="179">
        <v>42450438</v>
      </c>
      <c r="M21" s="179">
        <v>935872021</v>
      </c>
      <c r="N21" s="179">
        <v>70388738</v>
      </c>
      <c r="O21" s="179">
        <v>48772369</v>
      </c>
      <c r="P21" s="179">
        <v>2561469913.9053001</v>
      </c>
      <c r="Q21" s="179">
        <v>376557681.68529999</v>
      </c>
      <c r="R21" s="179">
        <v>133102210.90000001</v>
      </c>
      <c r="S21" s="179">
        <v>2704321897</v>
      </c>
      <c r="T21" s="179">
        <v>305599897</v>
      </c>
      <c r="U21" s="179">
        <v>127768694</v>
      </c>
      <c r="V21" s="179">
        <v>2734144193</v>
      </c>
      <c r="W21" s="179">
        <v>246525141</v>
      </c>
      <c r="X21" s="179">
        <v>134335700</v>
      </c>
      <c r="Y21" s="180">
        <v>2732694633.5900002</v>
      </c>
      <c r="Z21" s="180">
        <v>238850939.70999998</v>
      </c>
      <c r="AA21" s="180">
        <v>137266886.31</v>
      </c>
      <c r="AB21" s="180">
        <v>7999936003.9053001</v>
      </c>
      <c r="AC21" s="180">
        <v>928682719.68529999</v>
      </c>
      <c r="AD21" s="180">
        <v>395206604.89999998</v>
      </c>
      <c r="AE21" s="100">
        <v>0.13763624423922033</v>
      </c>
      <c r="AF21" s="100">
        <v>0.16548748939229285</v>
      </c>
      <c r="AG21" s="100">
        <v>0.16548748939229285</v>
      </c>
    </row>
    <row r="22" spans="1:34" x14ac:dyDescent="0.25">
      <c r="A22" s="178" t="s">
        <v>153</v>
      </c>
      <c r="B22" s="101">
        <v>60032</v>
      </c>
      <c r="C22" s="101">
        <v>79</v>
      </c>
      <c r="D22" t="s">
        <v>322</v>
      </c>
      <c r="E22" t="s">
        <v>310</v>
      </c>
      <c r="F22" t="s">
        <v>755</v>
      </c>
      <c r="G22" s="179">
        <v>377062000</v>
      </c>
      <c r="H22" s="179">
        <v>73155000</v>
      </c>
      <c r="I22" s="179">
        <v>21922000</v>
      </c>
      <c r="J22" s="179">
        <v>380048000</v>
      </c>
      <c r="K22" s="179">
        <v>61075000</v>
      </c>
      <c r="L22" s="179">
        <v>22799000</v>
      </c>
      <c r="M22" s="179">
        <v>382484000</v>
      </c>
      <c r="N22" s="179">
        <v>62029000</v>
      </c>
      <c r="O22" s="179">
        <v>21950000</v>
      </c>
      <c r="P22" s="179">
        <v>3022116000</v>
      </c>
      <c r="Q22" s="179">
        <v>641825000</v>
      </c>
      <c r="R22" s="179">
        <v>147227000</v>
      </c>
      <c r="S22" s="179">
        <v>3039909000</v>
      </c>
      <c r="T22" s="179">
        <v>544900000</v>
      </c>
      <c r="U22" s="179">
        <v>156154000</v>
      </c>
      <c r="V22" s="179">
        <v>3049875000</v>
      </c>
      <c r="W22" s="179">
        <v>428144000</v>
      </c>
      <c r="X22" s="179">
        <v>160040000</v>
      </c>
      <c r="Y22" s="180">
        <v>1139594000</v>
      </c>
      <c r="Z22" s="180">
        <v>196259000</v>
      </c>
      <c r="AA22" s="180">
        <v>66671000</v>
      </c>
      <c r="AB22" s="180">
        <v>9111900000</v>
      </c>
      <c r="AC22" s="180">
        <v>1614869000</v>
      </c>
      <c r="AD22" s="180">
        <v>463421000</v>
      </c>
      <c r="AE22" s="100">
        <v>0.23072252047659078</v>
      </c>
      <c r="AF22" s="100">
        <v>0.22808525115508291</v>
      </c>
      <c r="AG22" s="100">
        <v>0.23072252047659078</v>
      </c>
    </row>
    <row r="23" spans="1:34" x14ac:dyDescent="0.25">
      <c r="A23" s="178" t="s">
        <v>154</v>
      </c>
      <c r="B23" s="101">
        <v>60034</v>
      </c>
      <c r="C23" s="101">
        <v>93</v>
      </c>
      <c r="D23" t="s">
        <v>323</v>
      </c>
      <c r="E23" t="s">
        <v>310</v>
      </c>
      <c r="F23" t="s">
        <v>755</v>
      </c>
      <c r="G23" s="179">
        <v>722643000</v>
      </c>
      <c r="H23" s="179">
        <v>169680000</v>
      </c>
      <c r="I23" s="179">
        <v>38728000</v>
      </c>
      <c r="J23" s="179">
        <v>698379000</v>
      </c>
      <c r="K23" s="179">
        <v>124332000</v>
      </c>
      <c r="L23" s="179">
        <v>38867000</v>
      </c>
      <c r="M23" s="179">
        <v>715459000</v>
      </c>
      <c r="N23" s="179">
        <v>106633000</v>
      </c>
      <c r="O23" s="179">
        <v>44858000</v>
      </c>
      <c r="P23" s="179">
        <v>3022116000</v>
      </c>
      <c r="Q23" s="179">
        <v>641825000</v>
      </c>
      <c r="R23" s="179">
        <v>147227000</v>
      </c>
      <c r="S23" s="179">
        <v>3039909000</v>
      </c>
      <c r="T23" s="179">
        <v>544900000</v>
      </c>
      <c r="U23" s="179">
        <v>156154000</v>
      </c>
      <c r="V23" s="179">
        <v>3049875000</v>
      </c>
      <c r="W23" s="179">
        <v>428144000</v>
      </c>
      <c r="X23" s="179">
        <v>160040000</v>
      </c>
      <c r="Y23" s="180">
        <v>2136481000</v>
      </c>
      <c r="Z23" s="180">
        <v>400645000</v>
      </c>
      <c r="AA23" s="180">
        <v>122453000</v>
      </c>
      <c r="AB23" s="180">
        <v>9111900000</v>
      </c>
      <c r="AC23" s="180">
        <v>1614869000</v>
      </c>
      <c r="AD23" s="180">
        <v>463421000</v>
      </c>
      <c r="AE23" s="100">
        <v>0.24484093235558846</v>
      </c>
      <c r="AF23" s="100">
        <v>0.22808525115508291</v>
      </c>
      <c r="AG23" s="100">
        <v>0.24484093235558846</v>
      </c>
    </row>
    <row r="24" spans="1:34" x14ac:dyDescent="0.25">
      <c r="A24" s="178" t="s">
        <v>324</v>
      </c>
      <c r="B24" s="101">
        <v>60044</v>
      </c>
      <c r="C24" s="101">
        <v>44</v>
      </c>
      <c r="D24" t="s">
        <v>325</v>
      </c>
      <c r="E24" t="s">
        <v>292</v>
      </c>
      <c r="F24" t="s">
        <v>755</v>
      </c>
      <c r="G24" s="179">
        <v>0</v>
      </c>
      <c r="H24" s="179">
        <v>0</v>
      </c>
      <c r="I24" s="179">
        <v>0</v>
      </c>
      <c r="J24" s="179">
        <v>0</v>
      </c>
      <c r="K24" s="179">
        <v>0</v>
      </c>
      <c r="L24" s="179">
        <v>0</v>
      </c>
      <c r="M24" s="179">
        <v>42473572</v>
      </c>
      <c r="N24" s="179">
        <v>-3663752</v>
      </c>
      <c r="O24" s="179">
        <v>388060</v>
      </c>
      <c r="P24" s="179">
        <v>2561469913.9053001</v>
      </c>
      <c r="Q24" s="179">
        <v>376557681.68529999</v>
      </c>
      <c r="R24" s="179">
        <v>133102210.90000001</v>
      </c>
      <c r="S24" s="179">
        <v>2704321897</v>
      </c>
      <c r="T24" s="179">
        <v>305599897</v>
      </c>
      <c r="U24" s="179">
        <v>127768694</v>
      </c>
      <c r="V24" s="179">
        <v>2734144193</v>
      </c>
      <c r="W24" s="179">
        <v>246525141</v>
      </c>
      <c r="X24" s="179">
        <v>134335700</v>
      </c>
      <c r="Y24" s="180">
        <v>42473572</v>
      </c>
      <c r="Z24" s="180">
        <v>-3663752</v>
      </c>
      <c r="AA24" s="180">
        <v>388060</v>
      </c>
      <c r="AB24" s="180">
        <v>7999936003.9053001</v>
      </c>
      <c r="AC24" s="180">
        <v>928682719.68529999</v>
      </c>
      <c r="AD24" s="180">
        <v>395206604.89999998</v>
      </c>
      <c r="AE24" s="100">
        <v>-7.7123063725367855E-2</v>
      </c>
      <c r="AF24" s="100">
        <v>0.16548748939229285</v>
      </c>
      <c r="AG24" s="100">
        <v>0.16548748939229285</v>
      </c>
      <c r="AH24" s="72" t="s">
        <v>757</v>
      </c>
    </row>
    <row r="25" spans="1:34" x14ac:dyDescent="0.25">
      <c r="A25" s="178" t="s">
        <v>326</v>
      </c>
      <c r="B25" s="101">
        <v>60049</v>
      </c>
      <c r="C25" s="101">
        <v>99</v>
      </c>
      <c r="D25" t="s">
        <v>327</v>
      </c>
      <c r="E25" t="s">
        <v>304</v>
      </c>
      <c r="F25" t="s">
        <v>755</v>
      </c>
      <c r="G25" s="179">
        <v>116772654</v>
      </c>
      <c r="H25" s="179">
        <v>13106097</v>
      </c>
      <c r="I25" s="179">
        <v>8129872</v>
      </c>
      <c r="J25" s="179">
        <v>118501403</v>
      </c>
      <c r="K25" s="179">
        <v>4731605</v>
      </c>
      <c r="L25" s="179">
        <v>9587654</v>
      </c>
      <c r="M25" s="179">
        <v>128299128</v>
      </c>
      <c r="N25" s="179">
        <v>3650869</v>
      </c>
      <c r="O25" s="179">
        <v>10996912</v>
      </c>
      <c r="P25" s="179">
        <v>5838465865.9127998</v>
      </c>
      <c r="Q25" s="179">
        <v>539097448.80279994</v>
      </c>
      <c r="R25" s="179">
        <v>272047729.13999999</v>
      </c>
      <c r="S25" s="179">
        <v>6245148159.3099995</v>
      </c>
      <c r="T25" s="179">
        <v>252995149.78999913</v>
      </c>
      <c r="U25" s="179">
        <v>297779313.77999997</v>
      </c>
      <c r="V25" s="179">
        <v>6731516165</v>
      </c>
      <c r="W25" s="179">
        <v>281360024</v>
      </c>
      <c r="X25" s="179">
        <v>350330059</v>
      </c>
      <c r="Y25" s="180">
        <v>363573185</v>
      </c>
      <c r="Z25" s="180">
        <v>21488571</v>
      </c>
      <c r="AA25" s="180">
        <v>28714438</v>
      </c>
      <c r="AB25" s="180">
        <v>18815130190.222801</v>
      </c>
      <c r="AC25" s="180">
        <v>1073452622.5927991</v>
      </c>
      <c r="AD25" s="180">
        <v>920157101.91999996</v>
      </c>
      <c r="AE25" s="100">
        <v>0.1380822653353822</v>
      </c>
      <c r="AF25" s="100">
        <v>0.1059577958992157</v>
      </c>
      <c r="AG25" s="100">
        <v>0.1380822653353822</v>
      </c>
    </row>
    <row r="26" spans="1:34" x14ac:dyDescent="0.25">
      <c r="A26" s="178" t="s">
        <v>328</v>
      </c>
      <c r="B26" s="101">
        <v>60054</v>
      </c>
      <c r="C26" s="101">
        <v>45</v>
      </c>
      <c r="D26" t="s">
        <v>329</v>
      </c>
      <c r="E26">
        <v>0</v>
      </c>
      <c r="F26" t="s">
        <v>755</v>
      </c>
      <c r="G26" s="179">
        <v>215650797.79999995</v>
      </c>
      <c r="H26" s="179">
        <v>15527464.799999952</v>
      </c>
      <c r="I26" s="179">
        <v>6436472.2800000003</v>
      </c>
      <c r="J26" s="179">
        <v>228513534</v>
      </c>
      <c r="K26" s="179">
        <v>-282940</v>
      </c>
      <c r="L26" s="179">
        <v>8697430</v>
      </c>
      <c r="M26" s="179">
        <v>247755651</v>
      </c>
      <c r="N26" s="179">
        <v>3491745</v>
      </c>
      <c r="O26" s="179">
        <v>8519824</v>
      </c>
      <c r="P26" s="179">
        <v>0</v>
      </c>
      <c r="Q26" s="179">
        <v>0</v>
      </c>
      <c r="R26" s="179">
        <v>0</v>
      </c>
      <c r="S26" s="179">
        <v>0</v>
      </c>
      <c r="T26" s="179">
        <v>0</v>
      </c>
      <c r="U26" s="179">
        <v>0</v>
      </c>
      <c r="V26" s="179">
        <v>0</v>
      </c>
      <c r="W26" s="179">
        <v>0</v>
      </c>
      <c r="X26" s="179">
        <v>0</v>
      </c>
      <c r="Y26" s="180">
        <v>691919982.79999995</v>
      </c>
      <c r="Z26" s="180">
        <v>18736269.799999952</v>
      </c>
      <c r="AA26" s="180">
        <v>23653726.280000001</v>
      </c>
      <c r="AB26" s="180">
        <v>0</v>
      </c>
      <c r="AC26" s="180">
        <v>0</v>
      </c>
      <c r="AD26" s="180">
        <v>0</v>
      </c>
      <c r="AE26" s="100">
        <v>6.1264303870022518E-2</v>
      </c>
      <c r="AF26" s="100" t="s">
        <v>756</v>
      </c>
      <c r="AG26" s="100">
        <v>6.1264303870022518E-2</v>
      </c>
    </row>
    <row r="27" spans="1:34" x14ac:dyDescent="0.25">
      <c r="A27" s="178" t="s">
        <v>330</v>
      </c>
      <c r="B27" s="101">
        <v>60064</v>
      </c>
      <c r="C27" s="101">
        <v>75</v>
      </c>
      <c r="D27" t="s">
        <v>331</v>
      </c>
      <c r="E27" t="s">
        <v>332</v>
      </c>
      <c r="F27" t="s">
        <v>755</v>
      </c>
      <c r="G27" s="179">
        <v>338603624.00999999</v>
      </c>
      <c r="H27" s="179">
        <v>-14288477.939999999</v>
      </c>
      <c r="I27" s="179">
        <v>22758227.510000002</v>
      </c>
      <c r="J27" s="179">
        <v>359584313</v>
      </c>
      <c r="K27" s="179">
        <v>-19680582</v>
      </c>
      <c r="L27" s="179">
        <v>20233092</v>
      </c>
      <c r="M27" s="179">
        <v>357661530</v>
      </c>
      <c r="N27" s="179">
        <v>-28396297</v>
      </c>
      <c r="O27" s="179">
        <v>20537334</v>
      </c>
      <c r="P27" s="179">
        <v>1371223899.47</v>
      </c>
      <c r="Q27" s="179">
        <v>129153746.00920001</v>
      </c>
      <c r="R27" s="179">
        <v>91275973.75</v>
      </c>
      <c r="S27" s="179">
        <v>1447971475</v>
      </c>
      <c r="T27" s="179">
        <v>72801089</v>
      </c>
      <c r="U27" s="179">
        <v>88394159</v>
      </c>
      <c r="V27" s="179">
        <v>1536190457</v>
      </c>
      <c r="W27" s="179">
        <v>94768322</v>
      </c>
      <c r="X27" s="179">
        <v>90229196</v>
      </c>
      <c r="Y27" s="180">
        <v>1055849467.01</v>
      </c>
      <c r="Z27" s="180">
        <v>-62365356.939999998</v>
      </c>
      <c r="AA27" s="180">
        <v>63528653.510000005</v>
      </c>
      <c r="AB27" s="180">
        <v>4355385831.4700003</v>
      </c>
      <c r="AC27" s="180">
        <v>296723157.00919998</v>
      </c>
      <c r="AD27" s="180">
        <v>269899328.75</v>
      </c>
      <c r="AE27" s="100">
        <v>1.1017636569863327E-3</v>
      </c>
      <c r="AF27" s="100">
        <v>0.13009696676355248</v>
      </c>
      <c r="AG27" s="100">
        <v>0.13009696676355248</v>
      </c>
    </row>
    <row r="28" spans="1:34" x14ac:dyDescent="0.25">
      <c r="A28" s="178" t="s">
        <v>155</v>
      </c>
      <c r="B28" s="101">
        <v>60065</v>
      </c>
      <c r="C28" s="101">
        <v>66</v>
      </c>
      <c r="D28" t="s">
        <v>333</v>
      </c>
      <c r="E28" t="s">
        <v>310</v>
      </c>
      <c r="F28" t="s">
        <v>755</v>
      </c>
      <c r="G28" s="179">
        <v>213752000</v>
      </c>
      <c r="H28" s="179">
        <v>24981000</v>
      </c>
      <c r="I28" s="179">
        <v>10390000</v>
      </c>
      <c r="J28" s="179">
        <v>192444000</v>
      </c>
      <c r="K28" s="179">
        <v>7192000</v>
      </c>
      <c r="L28" s="179">
        <v>10269000</v>
      </c>
      <c r="M28" s="179">
        <v>191812000</v>
      </c>
      <c r="N28" s="179">
        <v>-7175000</v>
      </c>
      <c r="O28" s="179">
        <v>9870000</v>
      </c>
      <c r="P28" s="179">
        <v>3022116000</v>
      </c>
      <c r="Q28" s="179">
        <v>641825000</v>
      </c>
      <c r="R28" s="179">
        <v>147227000</v>
      </c>
      <c r="S28" s="179">
        <v>3039909000</v>
      </c>
      <c r="T28" s="179">
        <v>544900000</v>
      </c>
      <c r="U28" s="179">
        <v>156154000</v>
      </c>
      <c r="V28" s="179">
        <v>3049875000</v>
      </c>
      <c r="W28" s="179">
        <v>428144000</v>
      </c>
      <c r="X28" s="179">
        <v>160040000</v>
      </c>
      <c r="Y28" s="180">
        <v>598008000</v>
      </c>
      <c r="Z28" s="180">
        <v>24998000</v>
      </c>
      <c r="AA28" s="180">
        <v>30529000</v>
      </c>
      <c r="AB28" s="180">
        <v>9111900000</v>
      </c>
      <c r="AC28" s="180">
        <v>1614869000</v>
      </c>
      <c r="AD28" s="180">
        <v>463421000</v>
      </c>
      <c r="AE28" s="100">
        <v>9.285327286591484E-2</v>
      </c>
      <c r="AF28" s="100">
        <v>0.22808525115508291</v>
      </c>
      <c r="AG28" s="100">
        <v>0.22808525115508291</v>
      </c>
    </row>
    <row r="29" spans="1:34" x14ac:dyDescent="0.25">
      <c r="A29" s="178" t="s">
        <v>334</v>
      </c>
      <c r="B29" s="101">
        <v>60071</v>
      </c>
      <c r="C29" s="101">
        <v>6</v>
      </c>
      <c r="D29" t="s">
        <v>335</v>
      </c>
      <c r="E29">
        <v>0</v>
      </c>
      <c r="F29" t="s">
        <v>755</v>
      </c>
      <c r="G29" s="179">
        <v>90283300</v>
      </c>
      <c r="H29" s="179">
        <v>33070979</v>
      </c>
      <c r="I29" s="179">
        <v>2353659</v>
      </c>
      <c r="J29" s="179">
        <v>94387335</v>
      </c>
      <c r="K29" s="179">
        <v>-6478857</v>
      </c>
      <c r="L29" s="179">
        <v>2398687</v>
      </c>
      <c r="M29" s="179">
        <v>104295733</v>
      </c>
      <c r="N29" s="179">
        <v>-4359725</v>
      </c>
      <c r="O29" s="179">
        <v>2180916</v>
      </c>
      <c r="P29" s="179">
        <v>0</v>
      </c>
      <c r="Q29" s="179">
        <v>0</v>
      </c>
      <c r="R29" s="179">
        <v>0</v>
      </c>
      <c r="S29" s="179">
        <v>0</v>
      </c>
      <c r="T29" s="179">
        <v>0</v>
      </c>
      <c r="U29" s="179">
        <v>0</v>
      </c>
      <c r="V29" s="179">
        <v>0</v>
      </c>
      <c r="W29" s="179">
        <v>0</v>
      </c>
      <c r="X29" s="179">
        <v>0</v>
      </c>
      <c r="Y29" s="180">
        <v>288966368</v>
      </c>
      <c r="Z29" s="180">
        <v>22232397</v>
      </c>
      <c r="AA29" s="180">
        <v>6933262</v>
      </c>
      <c r="AB29" s="180">
        <v>0</v>
      </c>
      <c r="AC29" s="180">
        <v>0</v>
      </c>
      <c r="AD29" s="180">
        <v>0</v>
      </c>
      <c r="AE29" s="100">
        <v>0.10093098100606643</v>
      </c>
      <c r="AF29" s="100" t="s">
        <v>756</v>
      </c>
      <c r="AG29" s="100">
        <v>0.10093098100606643</v>
      </c>
    </row>
    <row r="30" spans="1:34" x14ac:dyDescent="0.25">
      <c r="A30" s="178" t="s">
        <v>336</v>
      </c>
      <c r="B30" s="101">
        <v>60075</v>
      </c>
      <c r="C30" s="101">
        <v>96</v>
      </c>
      <c r="D30" t="s">
        <v>337</v>
      </c>
      <c r="E30">
        <v>0</v>
      </c>
      <c r="F30" t="s">
        <v>755</v>
      </c>
      <c r="G30" s="179">
        <v>300725757</v>
      </c>
      <c r="H30" s="179">
        <v>28503550</v>
      </c>
      <c r="I30" s="179">
        <v>16276875</v>
      </c>
      <c r="J30" s="179">
        <v>304697380</v>
      </c>
      <c r="K30" s="179">
        <v>10748304</v>
      </c>
      <c r="L30" s="179">
        <v>18248816</v>
      </c>
      <c r="M30" s="179">
        <v>344444356</v>
      </c>
      <c r="N30" s="179">
        <v>21165310</v>
      </c>
      <c r="O30" s="179">
        <v>20579518</v>
      </c>
      <c r="P30" s="179">
        <v>0</v>
      </c>
      <c r="Q30" s="179">
        <v>0</v>
      </c>
      <c r="R30" s="179">
        <v>0</v>
      </c>
      <c r="S30" s="179">
        <v>0</v>
      </c>
      <c r="T30" s="179">
        <v>0</v>
      </c>
      <c r="U30" s="179">
        <v>0</v>
      </c>
      <c r="V30" s="179">
        <v>0</v>
      </c>
      <c r="W30" s="179">
        <v>0</v>
      </c>
      <c r="X30" s="179">
        <v>0</v>
      </c>
      <c r="Y30" s="180">
        <v>949867493</v>
      </c>
      <c r="Z30" s="180">
        <v>60417164</v>
      </c>
      <c r="AA30" s="180">
        <v>55105209</v>
      </c>
      <c r="AB30" s="180">
        <v>0</v>
      </c>
      <c r="AC30" s="180">
        <v>0</v>
      </c>
      <c r="AD30" s="180">
        <v>0</v>
      </c>
      <c r="AE30" s="100">
        <v>0.12161946150524808</v>
      </c>
      <c r="AF30" s="100" t="s">
        <v>756</v>
      </c>
      <c r="AG30" s="100">
        <v>0.12161946150524808</v>
      </c>
    </row>
    <row r="31" spans="1:34" x14ac:dyDescent="0.25">
      <c r="A31" s="178" t="s">
        <v>338</v>
      </c>
      <c r="B31" s="101">
        <v>60076</v>
      </c>
      <c r="C31" s="101">
        <v>92</v>
      </c>
      <c r="D31" t="s">
        <v>339</v>
      </c>
      <c r="E31" t="s">
        <v>289</v>
      </c>
      <c r="F31" t="s">
        <v>755</v>
      </c>
      <c r="G31" s="179">
        <v>63485360.049999997</v>
      </c>
      <c r="H31" s="179">
        <v>8392743.0500000007</v>
      </c>
      <c r="I31" s="179">
        <v>2401932</v>
      </c>
      <c r="J31" s="179">
        <v>59650697</v>
      </c>
      <c r="K31" s="179">
        <v>3766378</v>
      </c>
      <c r="L31" s="179">
        <v>2472644</v>
      </c>
      <c r="M31" s="179">
        <v>61873421</v>
      </c>
      <c r="N31" s="179">
        <v>4111061</v>
      </c>
      <c r="O31" s="179">
        <v>2415535</v>
      </c>
      <c r="P31" s="179">
        <v>639354872.58999991</v>
      </c>
      <c r="Q31" s="179">
        <v>-10443748.41</v>
      </c>
      <c r="R31" s="179">
        <v>44320700</v>
      </c>
      <c r="S31" s="179">
        <v>601531500</v>
      </c>
      <c r="T31" s="179">
        <v>-29502340</v>
      </c>
      <c r="U31" s="179">
        <v>38925678</v>
      </c>
      <c r="V31" s="179">
        <v>649270863</v>
      </c>
      <c r="W31" s="179">
        <v>23874481</v>
      </c>
      <c r="X31" s="179">
        <v>31769258</v>
      </c>
      <c r="Y31" s="180">
        <v>185009478.05000001</v>
      </c>
      <c r="Z31" s="180">
        <v>16270182.050000001</v>
      </c>
      <c r="AA31" s="180">
        <v>7290111</v>
      </c>
      <c r="AB31" s="180">
        <v>1890157235.5899999</v>
      </c>
      <c r="AC31" s="180">
        <v>-16071607.409999996</v>
      </c>
      <c r="AD31" s="180">
        <v>115015636</v>
      </c>
      <c r="AE31" s="100">
        <v>0.12734641110458503</v>
      </c>
      <c r="AF31" s="100">
        <v>5.234698295304268E-2</v>
      </c>
      <c r="AG31" s="100">
        <v>0.12734641110458503</v>
      </c>
    </row>
    <row r="32" spans="1:34" x14ac:dyDescent="0.25">
      <c r="A32" s="178" t="s">
        <v>340</v>
      </c>
      <c r="B32" s="101">
        <v>60096</v>
      </c>
      <c r="C32" s="101">
        <v>95</v>
      </c>
      <c r="D32" t="s">
        <v>341</v>
      </c>
      <c r="E32">
        <v>0</v>
      </c>
      <c r="F32" t="s">
        <v>755</v>
      </c>
      <c r="G32" s="179">
        <v>244461633.61000001</v>
      </c>
      <c r="H32" s="179">
        <v>9656863.8800000008</v>
      </c>
      <c r="I32" s="179">
        <v>26055208.73</v>
      </c>
      <c r="J32" s="179">
        <v>240124733</v>
      </c>
      <c r="K32" s="179">
        <v>-34355122</v>
      </c>
      <c r="L32" s="179">
        <v>27016191</v>
      </c>
      <c r="M32" s="179">
        <v>273883208</v>
      </c>
      <c r="N32" s="179">
        <v>-29272299</v>
      </c>
      <c r="O32" s="179">
        <v>28466908</v>
      </c>
      <c r="P32" s="179">
        <v>0</v>
      </c>
      <c r="Q32" s="179">
        <v>0</v>
      </c>
      <c r="R32" s="179">
        <v>0</v>
      </c>
      <c r="S32" s="179">
        <v>0</v>
      </c>
      <c r="T32" s="179">
        <v>0</v>
      </c>
      <c r="U32" s="179">
        <v>0</v>
      </c>
      <c r="V32" s="179">
        <v>0</v>
      </c>
      <c r="W32" s="179">
        <v>0</v>
      </c>
      <c r="X32" s="179">
        <v>0</v>
      </c>
      <c r="Y32" s="180">
        <v>758469574.61000001</v>
      </c>
      <c r="Z32" s="180">
        <v>-53970557.119999997</v>
      </c>
      <c r="AA32" s="180">
        <v>81538307.730000004</v>
      </c>
      <c r="AB32" s="180">
        <v>0</v>
      </c>
      <c r="AC32" s="180">
        <v>0</v>
      </c>
      <c r="AD32" s="180">
        <v>0</v>
      </c>
      <c r="AE32" s="100">
        <v>3.6346547749361149E-2</v>
      </c>
      <c r="AF32" s="100" t="s">
        <v>756</v>
      </c>
      <c r="AG32" s="100">
        <v>3.6346547749361149E-2</v>
      </c>
    </row>
    <row r="33" spans="1:33" x14ac:dyDescent="0.25">
      <c r="A33" s="178" t="s">
        <v>156</v>
      </c>
      <c r="B33" s="101">
        <v>60100</v>
      </c>
      <c r="C33" s="101">
        <v>94</v>
      </c>
      <c r="D33" t="s">
        <v>342</v>
      </c>
      <c r="E33" t="s">
        <v>310</v>
      </c>
      <c r="F33" t="s">
        <v>755</v>
      </c>
      <c r="G33" s="179">
        <v>481570000</v>
      </c>
      <c r="H33" s="179">
        <v>53593000</v>
      </c>
      <c r="I33" s="179">
        <v>23794000</v>
      </c>
      <c r="J33" s="179">
        <v>479681000</v>
      </c>
      <c r="K33" s="179">
        <v>30532000</v>
      </c>
      <c r="L33" s="179">
        <v>26591000</v>
      </c>
      <c r="M33" s="179">
        <v>484283000</v>
      </c>
      <c r="N33" s="179">
        <v>13049000</v>
      </c>
      <c r="O33" s="179">
        <v>27063000</v>
      </c>
      <c r="P33" s="179">
        <v>3022116000</v>
      </c>
      <c r="Q33" s="179">
        <v>641825000</v>
      </c>
      <c r="R33" s="179">
        <v>147227000</v>
      </c>
      <c r="S33" s="179">
        <v>3039909000</v>
      </c>
      <c r="T33" s="179">
        <v>544900000</v>
      </c>
      <c r="U33" s="179">
        <v>156154000</v>
      </c>
      <c r="V33" s="179">
        <v>3049875000</v>
      </c>
      <c r="W33" s="179">
        <v>428144000</v>
      </c>
      <c r="X33" s="179">
        <v>160040000</v>
      </c>
      <c r="Y33" s="180">
        <v>1445534000</v>
      </c>
      <c r="Z33" s="180">
        <v>97174000</v>
      </c>
      <c r="AA33" s="180">
        <v>77448000</v>
      </c>
      <c r="AB33" s="180">
        <v>9111900000</v>
      </c>
      <c r="AC33" s="180">
        <v>1614869000</v>
      </c>
      <c r="AD33" s="180">
        <v>463421000</v>
      </c>
      <c r="AE33" s="100">
        <v>0.12080103269795107</v>
      </c>
      <c r="AF33" s="100">
        <v>0.22808525115508291</v>
      </c>
      <c r="AG33" s="100">
        <v>0.22808525115508291</v>
      </c>
    </row>
    <row r="34" spans="1:33" x14ac:dyDescent="0.25">
      <c r="A34" s="178" t="s">
        <v>343</v>
      </c>
      <c r="B34" s="101">
        <v>60103</v>
      </c>
      <c r="C34" s="101">
        <v>37</v>
      </c>
      <c r="D34" t="s">
        <v>344</v>
      </c>
      <c r="E34" t="s">
        <v>332</v>
      </c>
      <c r="F34" t="s">
        <v>755</v>
      </c>
      <c r="G34" s="179">
        <v>191718150.84999999</v>
      </c>
      <c r="H34" s="179">
        <v>39106159.549199998</v>
      </c>
      <c r="I34" s="179">
        <v>8945095.7799999993</v>
      </c>
      <c r="J34" s="179">
        <v>192510814</v>
      </c>
      <c r="K34" s="179">
        <v>21747071</v>
      </c>
      <c r="L34" s="179">
        <v>8609609</v>
      </c>
      <c r="M34" s="179">
        <v>219855750</v>
      </c>
      <c r="N34" s="179">
        <v>33839494</v>
      </c>
      <c r="O34" s="179">
        <v>8704431</v>
      </c>
      <c r="P34" s="179">
        <v>1371223899.47</v>
      </c>
      <c r="Q34" s="179">
        <v>129153746.00920001</v>
      </c>
      <c r="R34" s="179">
        <v>91275973.75</v>
      </c>
      <c r="S34" s="179">
        <v>1447971475</v>
      </c>
      <c r="T34" s="179">
        <v>72801089</v>
      </c>
      <c r="U34" s="179">
        <v>88394159</v>
      </c>
      <c r="V34" s="179">
        <v>1536190457</v>
      </c>
      <c r="W34" s="179">
        <v>94768322</v>
      </c>
      <c r="X34" s="179">
        <v>90229196</v>
      </c>
      <c r="Y34" s="180">
        <v>604084714.85000002</v>
      </c>
      <c r="Z34" s="180">
        <v>94692724.549199998</v>
      </c>
      <c r="AA34" s="180">
        <v>26259135.780000001</v>
      </c>
      <c r="AB34" s="180">
        <v>4355385831.4700003</v>
      </c>
      <c r="AC34" s="180">
        <v>296723157.00919998</v>
      </c>
      <c r="AD34" s="180">
        <v>269899328.75</v>
      </c>
      <c r="AE34" s="100">
        <v>0.20022334178614914</v>
      </c>
      <c r="AF34" s="100">
        <v>0.13009696676355248</v>
      </c>
      <c r="AG34" s="100">
        <v>0.20022334178614914</v>
      </c>
    </row>
    <row r="35" spans="1:33" x14ac:dyDescent="0.25">
      <c r="A35" s="181" t="s">
        <v>157</v>
      </c>
      <c r="B35" s="136">
        <v>60104</v>
      </c>
      <c r="C35" s="101">
        <v>87</v>
      </c>
      <c r="D35" t="s">
        <v>345</v>
      </c>
      <c r="E35" t="s">
        <v>292</v>
      </c>
      <c r="F35" t="s">
        <v>755</v>
      </c>
      <c r="G35" s="179">
        <v>265891714.55000001</v>
      </c>
      <c r="H35" s="179">
        <v>42813160.899999999</v>
      </c>
      <c r="I35" s="179">
        <v>18163820.859999999</v>
      </c>
      <c r="J35" s="179">
        <v>283297485</v>
      </c>
      <c r="K35" s="179">
        <v>34952884</v>
      </c>
      <c r="L35" s="179">
        <v>16947430</v>
      </c>
      <c r="M35" s="179">
        <v>297721465</v>
      </c>
      <c r="N35" s="179">
        <v>40624928</v>
      </c>
      <c r="O35" s="179">
        <v>12716523</v>
      </c>
      <c r="P35" s="179">
        <v>2561469913.9053001</v>
      </c>
      <c r="Q35" s="179">
        <v>376557681.68529999</v>
      </c>
      <c r="R35" s="179">
        <v>133102210.90000001</v>
      </c>
      <c r="S35" s="179">
        <v>2704321897</v>
      </c>
      <c r="T35" s="179">
        <v>305599897</v>
      </c>
      <c r="U35" s="179">
        <v>127768694</v>
      </c>
      <c r="V35" s="179">
        <v>2734144193</v>
      </c>
      <c r="W35" s="179">
        <v>246525141</v>
      </c>
      <c r="X35" s="179">
        <v>134335700</v>
      </c>
      <c r="Y35" s="180">
        <v>846910664.54999995</v>
      </c>
      <c r="Z35" s="180">
        <v>118390972.90000001</v>
      </c>
      <c r="AA35" s="180">
        <v>47827773.859999999</v>
      </c>
      <c r="AB35" s="180">
        <v>7999936003.9053001</v>
      </c>
      <c r="AC35" s="180">
        <v>928682719.68529999</v>
      </c>
      <c r="AD35" s="180">
        <v>395206604.89999998</v>
      </c>
      <c r="AE35" s="100">
        <v>0.19626479358164553</v>
      </c>
      <c r="AF35" s="100">
        <v>0.16548748939229285</v>
      </c>
      <c r="AG35" s="100">
        <v>0.19626479358164553</v>
      </c>
    </row>
    <row r="36" spans="1:33" x14ac:dyDescent="0.25">
      <c r="A36" s="178" t="s">
        <v>158</v>
      </c>
      <c r="B36" s="101">
        <v>60107</v>
      </c>
      <c r="C36" s="101">
        <v>65</v>
      </c>
      <c r="D36" t="s">
        <v>346</v>
      </c>
      <c r="E36">
        <v>0</v>
      </c>
      <c r="F36" t="s">
        <v>755</v>
      </c>
      <c r="G36" s="179">
        <v>340886000.89999998</v>
      </c>
      <c r="H36" s="179">
        <v>6938000</v>
      </c>
      <c r="I36" s="179">
        <v>8449320</v>
      </c>
      <c r="J36" s="179">
        <v>327404000</v>
      </c>
      <c r="K36" s="179">
        <v>-10297000</v>
      </c>
      <c r="L36" s="179">
        <v>8523075</v>
      </c>
      <c r="M36" s="179">
        <v>344891141</v>
      </c>
      <c r="N36" s="179">
        <v>-17116000</v>
      </c>
      <c r="O36" s="179">
        <v>8758749</v>
      </c>
      <c r="P36" s="179">
        <v>0</v>
      </c>
      <c r="Q36" s="179">
        <v>0</v>
      </c>
      <c r="R36" s="179">
        <v>0</v>
      </c>
      <c r="S36" s="179">
        <v>0</v>
      </c>
      <c r="T36" s="179">
        <v>0</v>
      </c>
      <c r="U36" s="179">
        <v>0</v>
      </c>
      <c r="V36" s="179">
        <v>0</v>
      </c>
      <c r="W36" s="179">
        <v>0</v>
      </c>
      <c r="X36" s="179">
        <v>0</v>
      </c>
      <c r="Y36" s="180">
        <v>1013181141.9</v>
      </c>
      <c r="Z36" s="180">
        <v>-20475000</v>
      </c>
      <c r="AA36" s="180">
        <v>25731144</v>
      </c>
      <c r="AB36" s="180">
        <v>0</v>
      </c>
      <c r="AC36" s="180">
        <v>0</v>
      </c>
      <c r="AD36" s="180">
        <v>0</v>
      </c>
      <c r="AE36" s="100">
        <v>5.1877633550731607E-3</v>
      </c>
      <c r="AF36" s="100" t="s">
        <v>756</v>
      </c>
      <c r="AG36" s="100">
        <v>5.1877633550731607E-3</v>
      </c>
    </row>
    <row r="37" spans="1:33" x14ac:dyDescent="0.25">
      <c r="A37" s="178" t="s">
        <v>159</v>
      </c>
      <c r="B37" s="101">
        <v>60112</v>
      </c>
      <c r="C37" s="101">
        <v>84</v>
      </c>
      <c r="D37" t="s">
        <v>347</v>
      </c>
      <c r="E37" t="s">
        <v>310</v>
      </c>
      <c r="F37" t="s">
        <v>755</v>
      </c>
      <c r="G37" s="179">
        <v>573374000</v>
      </c>
      <c r="H37" s="179">
        <v>161109000</v>
      </c>
      <c r="I37" s="179">
        <v>22394000</v>
      </c>
      <c r="J37" s="179">
        <v>573190000</v>
      </c>
      <c r="K37" s="179">
        <v>136391000</v>
      </c>
      <c r="L37" s="179">
        <v>26531000</v>
      </c>
      <c r="M37" s="179">
        <v>582697000</v>
      </c>
      <c r="N37" s="179">
        <v>110016000</v>
      </c>
      <c r="O37" s="179">
        <v>24392000</v>
      </c>
      <c r="P37" s="179">
        <v>3022116000</v>
      </c>
      <c r="Q37" s="179">
        <v>641825000</v>
      </c>
      <c r="R37" s="179">
        <v>147227000</v>
      </c>
      <c r="S37" s="179">
        <v>3039909000</v>
      </c>
      <c r="T37" s="179">
        <v>544900000</v>
      </c>
      <c r="U37" s="179">
        <v>156154000</v>
      </c>
      <c r="V37" s="179">
        <v>3049875000</v>
      </c>
      <c r="W37" s="179">
        <v>428144000</v>
      </c>
      <c r="X37" s="179">
        <v>160040000</v>
      </c>
      <c r="Y37" s="180">
        <v>1729261000</v>
      </c>
      <c r="Z37" s="180">
        <v>407516000</v>
      </c>
      <c r="AA37" s="180">
        <v>73317000</v>
      </c>
      <c r="AB37" s="180">
        <v>9111900000</v>
      </c>
      <c r="AC37" s="180">
        <v>1614869000</v>
      </c>
      <c r="AD37" s="180">
        <v>463421000</v>
      </c>
      <c r="AE37" s="100">
        <v>0.27805692720763381</v>
      </c>
      <c r="AF37" s="100">
        <v>0.22808525115508291</v>
      </c>
      <c r="AG37" s="100">
        <v>0.27805692720763381</v>
      </c>
    </row>
    <row r="38" spans="1:33" x14ac:dyDescent="0.25">
      <c r="A38" s="178" t="s">
        <v>348</v>
      </c>
      <c r="B38" s="101">
        <v>60113</v>
      </c>
      <c r="C38" s="101">
        <v>59</v>
      </c>
      <c r="D38" t="s">
        <v>349</v>
      </c>
      <c r="E38" t="s">
        <v>332</v>
      </c>
      <c r="F38" t="s">
        <v>755</v>
      </c>
      <c r="G38" s="179">
        <v>326069529.94999999</v>
      </c>
      <c r="H38" s="179">
        <v>27025157.719999999</v>
      </c>
      <c r="I38" s="179">
        <v>26143465.489999998</v>
      </c>
      <c r="J38" s="179">
        <v>345443645</v>
      </c>
      <c r="K38" s="179">
        <v>6180130</v>
      </c>
      <c r="L38" s="179">
        <v>24837658</v>
      </c>
      <c r="M38" s="179">
        <v>367589555</v>
      </c>
      <c r="N38" s="179">
        <v>6676731</v>
      </c>
      <c r="O38" s="179">
        <v>25723246</v>
      </c>
      <c r="P38" s="179">
        <v>1371223899.47</v>
      </c>
      <c r="Q38" s="179">
        <v>129153746.00920001</v>
      </c>
      <c r="R38" s="179">
        <v>91275973.75</v>
      </c>
      <c r="S38" s="179">
        <v>1447971475</v>
      </c>
      <c r="T38" s="179">
        <v>72801089</v>
      </c>
      <c r="U38" s="179">
        <v>88394159</v>
      </c>
      <c r="V38" s="179">
        <v>1536190457</v>
      </c>
      <c r="W38" s="179">
        <v>94768322</v>
      </c>
      <c r="X38" s="179">
        <v>90229196</v>
      </c>
      <c r="Y38" s="180">
        <v>1039102729.95</v>
      </c>
      <c r="Z38" s="180">
        <v>39882018.719999999</v>
      </c>
      <c r="AA38" s="180">
        <v>76704369.489999995</v>
      </c>
      <c r="AB38" s="180">
        <v>4355385831.4700003</v>
      </c>
      <c r="AC38" s="180">
        <v>296723157.00919998</v>
      </c>
      <c r="AD38" s="180">
        <v>269899328.75</v>
      </c>
      <c r="AE38" s="100">
        <v>0.11219909721111977</v>
      </c>
      <c r="AF38" s="100">
        <v>0.13009696676355248</v>
      </c>
      <c r="AG38" s="100">
        <v>0.13009696676355248</v>
      </c>
    </row>
    <row r="39" spans="1:33" x14ac:dyDescent="0.25">
      <c r="A39" s="178" t="s">
        <v>350</v>
      </c>
      <c r="B39" s="101">
        <v>60114</v>
      </c>
      <c r="C39" s="101">
        <v>69</v>
      </c>
      <c r="D39" t="s">
        <v>351</v>
      </c>
      <c r="E39" t="s">
        <v>332</v>
      </c>
      <c r="F39" t="s">
        <v>755</v>
      </c>
      <c r="G39" s="179">
        <v>370987837.17000002</v>
      </c>
      <c r="H39" s="179">
        <v>70435147.620000005</v>
      </c>
      <c r="I39" s="179">
        <v>23518032.859999999</v>
      </c>
      <c r="J39" s="179">
        <v>380098504</v>
      </c>
      <c r="K39" s="179">
        <v>51889446</v>
      </c>
      <c r="L39" s="179">
        <v>23845895</v>
      </c>
      <c r="M39" s="179">
        <v>405271834</v>
      </c>
      <c r="N39" s="179">
        <v>69242587</v>
      </c>
      <c r="O39" s="179">
        <v>23612557</v>
      </c>
      <c r="P39" s="179">
        <v>1371223899.47</v>
      </c>
      <c r="Q39" s="179">
        <v>129153746.00920001</v>
      </c>
      <c r="R39" s="179">
        <v>91275973.75</v>
      </c>
      <c r="S39" s="179">
        <v>1447971475</v>
      </c>
      <c r="T39" s="179">
        <v>72801089</v>
      </c>
      <c r="U39" s="179">
        <v>88394159</v>
      </c>
      <c r="V39" s="179">
        <v>1536190457</v>
      </c>
      <c r="W39" s="179">
        <v>94768322</v>
      </c>
      <c r="X39" s="179">
        <v>90229196</v>
      </c>
      <c r="Y39" s="180">
        <v>1156358175.1700001</v>
      </c>
      <c r="Z39" s="180">
        <v>191567180.62</v>
      </c>
      <c r="AA39" s="180">
        <v>70976484.859999999</v>
      </c>
      <c r="AB39" s="180">
        <v>4355385831.4700003</v>
      </c>
      <c r="AC39" s="180">
        <v>296723157.00919998</v>
      </c>
      <c r="AD39" s="180">
        <v>269899328.75</v>
      </c>
      <c r="AE39" s="100">
        <v>0.2270435502748987</v>
      </c>
      <c r="AF39" s="100">
        <v>0.13009696676355248</v>
      </c>
      <c r="AG39" s="100">
        <v>0.2270435502748987</v>
      </c>
    </row>
    <row r="40" spans="1:33" x14ac:dyDescent="0.25">
      <c r="A40" s="178" t="s">
        <v>352</v>
      </c>
      <c r="B40" s="101">
        <v>60116</v>
      </c>
      <c r="C40" s="101">
        <v>49</v>
      </c>
      <c r="D40" t="s">
        <v>353</v>
      </c>
      <c r="E40" t="s">
        <v>295</v>
      </c>
      <c r="F40" t="s">
        <v>755</v>
      </c>
      <c r="G40" s="179">
        <v>343227648.54000002</v>
      </c>
      <c r="H40" s="179">
        <v>47931856.579999998</v>
      </c>
      <c r="I40" s="179">
        <v>15022794.810000001</v>
      </c>
      <c r="J40" s="179">
        <v>331332937</v>
      </c>
      <c r="K40" s="179">
        <v>-18679223</v>
      </c>
      <c r="L40" s="179">
        <v>17504968</v>
      </c>
      <c r="M40" s="179">
        <v>336463779</v>
      </c>
      <c r="N40" s="179">
        <v>-24999756</v>
      </c>
      <c r="O40" s="179">
        <v>18851348</v>
      </c>
      <c r="P40" s="179">
        <v>2071300143.8400002</v>
      </c>
      <c r="Q40" s="179">
        <v>66839712.039999999</v>
      </c>
      <c r="R40" s="179">
        <v>226924874.51000002</v>
      </c>
      <c r="S40" s="179">
        <v>2080006963</v>
      </c>
      <c r="T40" s="179">
        <v>-148690458</v>
      </c>
      <c r="U40" s="179">
        <v>121751567</v>
      </c>
      <c r="V40" s="179">
        <v>2128323837</v>
      </c>
      <c r="W40" s="179">
        <v>-215596377</v>
      </c>
      <c r="X40" s="179">
        <v>135772215</v>
      </c>
      <c r="Y40" s="180">
        <v>1011024364.54</v>
      </c>
      <c r="Z40" s="180">
        <v>4252877.5799999982</v>
      </c>
      <c r="AA40" s="180">
        <v>51379110.810000002</v>
      </c>
      <c r="AB40" s="180">
        <v>6279630943.8400002</v>
      </c>
      <c r="AC40" s="180">
        <v>-297447122.96000004</v>
      </c>
      <c r="AD40" s="180">
        <v>484448656.50999999</v>
      </c>
      <c r="AE40" s="100">
        <v>5.5025368666868552E-2</v>
      </c>
      <c r="AF40" s="100">
        <v>2.9779064282979717E-2</v>
      </c>
      <c r="AG40" s="100">
        <v>5.5025368666868552E-2</v>
      </c>
    </row>
    <row r="41" spans="1:33" x14ac:dyDescent="0.25">
      <c r="A41" s="178" t="s">
        <v>354</v>
      </c>
      <c r="B41" s="101">
        <v>60117</v>
      </c>
      <c r="C41" s="101">
        <v>36</v>
      </c>
      <c r="D41" t="s">
        <v>355</v>
      </c>
      <c r="E41">
        <v>0</v>
      </c>
      <c r="F41" t="s">
        <v>755</v>
      </c>
      <c r="G41" s="179">
        <v>42236553.640000001</v>
      </c>
      <c r="H41" s="179">
        <v>6821753</v>
      </c>
      <c r="I41" s="179">
        <v>1561217.74</v>
      </c>
      <c r="J41" s="179">
        <v>48853222</v>
      </c>
      <c r="K41" s="179">
        <v>8845576</v>
      </c>
      <c r="L41" s="179">
        <v>1359759</v>
      </c>
      <c r="M41" s="179">
        <v>45988999</v>
      </c>
      <c r="N41" s="179">
        <v>6095938</v>
      </c>
      <c r="O41" s="179">
        <v>1676353</v>
      </c>
      <c r="P41" s="179">
        <v>0</v>
      </c>
      <c r="Q41" s="179">
        <v>0</v>
      </c>
      <c r="R41" s="179">
        <v>0</v>
      </c>
      <c r="S41" s="179">
        <v>0</v>
      </c>
      <c r="T41" s="179">
        <v>0</v>
      </c>
      <c r="U41" s="179">
        <v>0</v>
      </c>
      <c r="V41" s="179">
        <v>0</v>
      </c>
      <c r="W41" s="179">
        <v>0</v>
      </c>
      <c r="X41" s="179">
        <v>0</v>
      </c>
      <c r="Y41" s="180">
        <v>137078774.63999999</v>
      </c>
      <c r="Z41" s="180">
        <v>21763267</v>
      </c>
      <c r="AA41" s="180">
        <v>4597329.74</v>
      </c>
      <c r="AB41" s="180">
        <v>0</v>
      </c>
      <c r="AC41" s="180">
        <v>0</v>
      </c>
      <c r="AD41" s="180">
        <v>0</v>
      </c>
      <c r="AE41" s="100">
        <v>0.1923025414345067</v>
      </c>
      <c r="AF41" s="100" t="s">
        <v>756</v>
      </c>
      <c r="AG41" s="100">
        <v>0.1923025414345067</v>
      </c>
    </row>
    <row r="42" spans="1:33" x14ac:dyDescent="0.25">
      <c r="A42" s="178" t="s">
        <v>356</v>
      </c>
      <c r="B42" s="101">
        <v>60118</v>
      </c>
      <c r="C42" s="101">
        <v>88</v>
      </c>
      <c r="D42" t="s">
        <v>357</v>
      </c>
      <c r="E42" t="s">
        <v>292</v>
      </c>
      <c r="F42" t="s">
        <v>755</v>
      </c>
      <c r="G42" s="179">
        <v>133694885.23</v>
      </c>
      <c r="H42" s="179">
        <v>46120564.619999997</v>
      </c>
      <c r="I42" s="179">
        <v>7445496.7999999998</v>
      </c>
      <c r="J42" s="179">
        <v>160158117</v>
      </c>
      <c r="K42" s="179">
        <v>52751328</v>
      </c>
      <c r="L42" s="179">
        <v>6279588</v>
      </c>
      <c r="M42" s="179">
        <v>160995056</v>
      </c>
      <c r="N42" s="179">
        <v>48632962</v>
      </c>
      <c r="O42" s="179">
        <v>5894305</v>
      </c>
      <c r="P42" s="179">
        <v>2561469913.9053001</v>
      </c>
      <c r="Q42" s="179">
        <v>376557681.68529999</v>
      </c>
      <c r="R42" s="179">
        <v>133102210.90000001</v>
      </c>
      <c r="S42" s="179">
        <v>2704321897</v>
      </c>
      <c r="T42" s="179">
        <v>305599897</v>
      </c>
      <c r="U42" s="179">
        <v>127768694</v>
      </c>
      <c r="V42" s="179">
        <v>2734144193</v>
      </c>
      <c r="W42" s="179">
        <v>246525141</v>
      </c>
      <c r="X42" s="179">
        <v>134335700</v>
      </c>
      <c r="Y42" s="180">
        <v>454848058.23000002</v>
      </c>
      <c r="Z42" s="180">
        <v>147504854.62</v>
      </c>
      <c r="AA42" s="180">
        <v>19619389.800000001</v>
      </c>
      <c r="AB42" s="180">
        <v>7999936003.9053001</v>
      </c>
      <c r="AC42" s="180">
        <v>928682719.68529999</v>
      </c>
      <c r="AD42" s="180">
        <v>395206604.89999998</v>
      </c>
      <c r="AE42" s="100">
        <v>0.36742873009142629</v>
      </c>
      <c r="AF42" s="100">
        <v>0.16548748939229285</v>
      </c>
      <c r="AG42" s="100">
        <v>0.36742873009142629</v>
      </c>
    </row>
    <row r="43" spans="1:33" x14ac:dyDescent="0.25">
      <c r="A43" s="178" t="s">
        <v>160</v>
      </c>
      <c r="B43" s="101">
        <v>60119</v>
      </c>
      <c r="C43" s="101">
        <v>62</v>
      </c>
      <c r="D43" t="s">
        <v>358</v>
      </c>
      <c r="E43" t="s">
        <v>304</v>
      </c>
      <c r="F43" t="s">
        <v>755</v>
      </c>
      <c r="G43" s="179">
        <v>537490603</v>
      </c>
      <c r="H43" s="179">
        <v>83479415</v>
      </c>
      <c r="I43" s="179">
        <v>21574834</v>
      </c>
      <c r="J43" s="179">
        <v>546728289</v>
      </c>
      <c r="K43" s="179">
        <v>41331381</v>
      </c>
      <c r="L43" s="179">
        <v>21326261</v>
      </c>
      <c r="M43" s="179">
        <v>574336859</v>
      </c>
      <c r="N43" s="179">
        <v>23588506</v>
      </c>
      <c r="O43" s="179">
        <v>23817458</v>
      </c>
      <c r="P43" s="179">
        <v>5838465865.9127998</v>
      </c>
      <c r="Q43" s="179">
        <v>539097448.80279994</v>
      </c>
      <c r="R43" s="179">
        <v>272047729.13999999</v>
      </c>
      <c r="S43" s="179">
        <v>6245148159.3099995</v>
      </c>
      <c r="T43" s="179">
        <v>252995149.78999913</v>
      </c>
      <c r="U43" s="179">
        <v>297779313.77999997</v>
      </c>
      <c r="V43" s="179">
        <v>6731516165</v>
      </c>
      <c r="W43" s="179">
        <v>281360024</v>
      </c>
      <c r="X43" s="179">
        <v>350330059</v>
      </c>
      <c r="Y43" s="180">
        <v>1658555751</v>
      </c>
      <c r="Z43" s="180">
        <v>148399302</v>
      </c>
      <c r="AA43" s="180">
        <v>66718553</v>
      </c>
      <c r="AB43" s="180">
        <v>18815130190.222801</v>
      </c>
      <c r="AC43" s="180">
        <v>1073452622.5927991</v>
      </c>
      <c r="AD43" s="180">
        <v>920157101.91999996</v>
      </c>
      <c r="AE43" s="100">
        <v>0.12970191377063936</v>
      </c>
      <c r="AF43" s="100">
        <v>0.1059577958992157</v>
      </c>
      <c r="AG43" s="100">
        <v>0.12970191377063936</v>
      </c>
    </row>
    <row r="44" spans="1:33" x14ac:dyDescent="0.25">
      <c r="A44" s="178" t="s">
        <v>359</v>
      </c>
      <c r="B44" s="101">
        <v>60124</v>
      </c>
      <c r="C44" s="101">
        <v>76</v>
      </c>
      <c r="D44" t="s">
        <v>360</v>
      </c>
      <c r="E44" t="s">
        <v>292</v>
      </c>
      <c r="F44" t="s">
        <v>755</v>
      </c>
      <c r="G44" s="179">
        <v>114949304.7253</v>
      </c>
      <c r="H44" s="179">
        <v>42731506.825300001</v>
      </c>
      <c r="I44" s="179">
        <v>6776318.8099999996</v>
      </c>
      <c r="J44" s="179">
        <v>116675841</v>
      </c>
      <c r="K44" s="179">
        <v>40294720</v>
      </c>
      <c r="L44" s="179">
        <v>4212160</v>
      </c>
      <c r="M44" s="179">
        <v>109725300</v>
      </c>
      <c r="N44" s="179">
        <v>36020753</v>
      </c>
      <c r="O44" s="179">
        <v>3687818</v>
      </c>
      <c r="P44" s="179">
        <v>2561469913.9053001</v>
      </c>
      <c r="Q44" s="179">
        <v>376557681.68529999</v>
      </c>
      <c r="R44" s="179">
        <v>133102210.90000001</v>
      </c>
      <c r="S44" s="179">
        <v>2704321897</v>
      </c>
      <c r="T44" s="179">
        <v>305599897</v>
      </c>
      <c r="U44" s="179">
        <v>127768694</v>
      </c>
      <c r="V44" s="179">
        <v>2734144193</v>
      </c>
      <c r="W44" s="179">
        <v>246525141</v>
      </c>
      <c r="X44" s="179">
        <v>134335700</v>
      </c>
      <c r="Y44" s="180">
        <v>341350445.72530001</v>
      </c>
      <c r="Z44" s="180">
        <v>119046979.82530001</v>
      </c>
      <c r="AA44" s="180">
        <v>14676296.809999999</v>
      </c>
      <c r="AB44" s="180">
        <v>7999936003.9053001</v>
      </c>
      <c r="AC44" s="180">
        <v>928682719.68529999</v>
      </c>
      <c r="AD44" s="180">
        <v>395206604.89999998</v>
      </c>
      <c r="AE44" s="100">
        <v>0.39174777215001244</v>
      </c>
      <c r="AF44" s="100">
        <v>0.16548748939229285</v>
      </c>
      <c r="AG44" s="100">
        <v>0.39174777215001244</v>
      </c>
    </row>
    <row r="45" spans="1:33" x14ac:dyDescent="0.25">
      <c r="A45" s="178" t="s">
        <v>361</v>
      </c>
      <c r="B45" s="101">
        <v>60125</v>
      </c>
      <c r="C45" s="101">
        <v>40</v>
      </c>
      <c r="D45" t="s">
        <v>362</v>
      </c>
      <c r="E45" t="s">
        <v>332</v>
      </c>
      <c r="F45" t="s">
        <v>755</v>
      </c>
      <c r="G45" s="179">
        <v>143844757.49000001</v>
      </c>
      <c r="H45" s="179">
        <v>6875759.0599999996</v>
      </c>
      <c r="I45" s="179">
        <v>9911152.1099999994</v>
      </c>
      <c r="J45" s="179">
        <v>170334199</v>
      </c>
      <c r="K45" s="179">
        <v>12665024</v>
      </c>
      <c r="L45" s="179">
        <v>10867905</v>
      </c>
      <c r="M45" s="179">
        <v>185811788</v>
      </c>
      <c r="N45" s="179">
        <v>13405807</v>
      </c>
      <c r="O45" s="179">
        <v>11651628</v>
      </c>
      <c r="P45" s="179">
        <v>1371223899.47</v>
      </c>
      <c r="Q45" s="179">
        <v>129153746.00920001</v>
      </c>
      <c r="R45" s="179">
        <v>91275973.75</v>
      </c>
      <c r="S45" s="179">
        <v>1447971475</v>
      </c>
      <c r="T45" s="179">
        <v>72801089</v>
      </c>
      <c r="U45" s="179">
        <v>88394159</v>
      </c>
      <c r="V45" s="179">
        <v>1536190457</v>
      </c>
      <c r="W45" s="179">
        <v>94768322</v>
      </c>
      <c r="X45" s="179">
        <v>90229196</v>
      </c>
      <c r="Y45" s="180">
        <v>499990744.49000001</v>
      </c>
      <c r="Z45" s="180">
        <v>32946590.059999999</v>
      </c>
      <c r="AA45" s="180">
        <v>32430685.109999999</v>
      </c>
      <c r="AB45" s="180">
        <v>4355385831.4700003</v>
      </c>
      <c r="AC45" s="180">
        <v>296723157.00919998</v>
      </c>
      <c r="AD45" s="180">
        <v>269899328.75</v>
      </c>
      <c r="AE45" s="100">
        <v>0.13075697078490134</v>
      </c>
      <c r="AF45" s="100">
        <v>0.13009696676355248</v>
      </c>
      <c r="AG45" s="100">
        <v>0.13075697078490134</v>
      </c>
    </row>
    <row r="46" spans="1:33" x14ac:dyDescent="0.25">
      <c r="A46" s="178" t="s">
        <v>363</v>
      </c>
      <c r="B46" s="101">
        <v>60126</v>
      </c>
      <c r="C46" s="101">
        <v>101</v>
      </c>
      <c r="D46" t="s">
        <v>364</v>
      </c>
      <c r="E46" t="s">
        <v>289</v>
      </c>
      <c r="F46" t="s">
        <v>755</v>
      </c>
      <c r="G46" s="179">
        <v>50970080.539999999</v>
      </c>
      <c r="H46" s="179">
        <v>52543.54</v>
      </c>
      <c r="I46" s="179">
        <v>5295303</v>
      </c>
      <c r="J46" s="179">
        <v>52472608</v>
      </c>
      <c r="K46" s="179">
        <v>-722958</v>
      </c>
      <c r="L46" s="179">
        <v>4783752</v>
      </c>
      <c r="M46" s="179">
        <v>63845016</v>
      </c>
      <c r="N46" s="179">
        <v>7267832</v>
      </c>
      <c r="O46" s="179">
        <v>3456657</v>
      </c>
      <c r="P46" s="179">
        <v>639354872.58999991</v>
      </c>
      <c r="Q46" s="179">
        <v>-10443748.41</v>
      </c>
      <c r="R46" s="179">
        <v>44320700</v>
      </c>
      <c r="S46" s="179">
        <v>601531500</v>
      </c>
      <c r="T46" s="179">
        <v>-29502340</v>
      </c>
      <c r="U46" s="179">
        <v>38925678</v>
      </c>
      <c r="V46" s="179">
        <v>649270863</v>
      </c>
      <c r="W46" s="179">
        <v>23874481</v>
      </c>
      <c r="X46" s="179">
        <v>31769258</v>
      </c>
      <c r="Y46" s="180">
        <v>167287704.53999999</v>
      </c>
      <c r="Z46" s="180">
        <v>6597417.54</v>
      </c>
      <c r="AA46" s="180">
        <v>13535712</v>
      </c>
      <c r="AB46" s="180">
        <v>1890157235.5899999</v>
      </c>
      <c r="AC46" s="180">
        <v>-16071607.409999996</v>
      </c>
      <c r="AD46" s="180">
        <v>115015636</v>
      </c>
      <c r="AE46" s="100">
        <v>0.12035032458219896</v>
      </c>
      <c r="AF46" s="100">
        <v>5.234698295304268E-2</v>
      </c>
      <c r="AG46" s="100">
        <v>0.12035032458219896</v>
      </c>
    </row>
    <row r="47" spans="1:33" x14ac:dyDescent="0.25">
      <c r="A47" s="178" t="s">
        <v>365</v>
      </c>
      <c r="B47" s="101">
        <v>60128</v>
      </c>
      <c r="C47" s="101">
        <v>105</v>
      </c>
      <c r="D47" t="s">
        <v>366</v>
      </c>
      <c r="E47" t="s">
        <v>304</v>
      </c>
      <c r="F47" t="s">
        <v>755</v>
      </c>
      <c r="G47" s="179">
        <v>147391342</v>
      </c>
      <c r="H47" s="179">
        <v>1347257</v>
      </c>
      <c r="I47" s="179">
        <v>15355736</v>
      </c>
      <c r="J47" s="179">
        <v>166658035</v>
      </c>
      <c r="K47" s="179">
        <v>-3935412</v>
      </c>
      <c r="L47" s="179">
        <v>16434700</v>
      </c>
      <c r="M47" s="179">
        <v>200085330</v>
      </c>
      <c r="N47" s="179">
        <v>-9028393</v>
      </c>
      <c r="O47" s="179">
        <v>20250942</v>
      </c>
      <c r="P47" s="179">
        <v>5838465865.9127998</v>
      </c>
      <c r="Q47" s="179">
        <v>539097448.80279994</v>
      </c>
      <c r="R47" s="179">
        <v>272047729.13999999</v>
      </c>
      <c r="S47" s="179">
        <v>6245148159.3099995</v>
      </c>
      <c r="T47" s="179">
        <v>252995149.78999913</v>
      </c>
      <c r="U47" s="179">
        <v>297779313.77999997</v>
      </c>
      <c r="V47" s="179">
        <v>6731516165</v>
      </c>
      <c r="W47" s="179">
        <v>281360024</v>
      </c>
      <c r="X47" s="179">
        <v>350330059</v>
      </c>
      <c r="Y47" s="180">
        <v>514134707</v>
      </c>
      <c r="Z47" s="180">
        <v>-11616548</v>
      </c>
      <c r="AA47" s="180">
        <v>52041378</v>
      </c>
      <c r="AB47" s="180">
        <v>18815130190.222801</v>
      </c>
      <c r="AC47" s="180">
        <v>1073452622.5927991</v>
      </c>
      <c r="AD47" s="180">
        <v>920157101.91999996</v>
      </c>
      <c r="AE47" s="100">
        <v>7.8626922963206988E-2</v>
      </c>
      <c r="AF47" s="100">
        <v>0.1059577958992157</v>
      </c>
      <c r="AG47" s="100">
        <v>0.1059577958992157</v>
      </c>
    </row>
    <row r="48" spans="1:33" x14ac:dyDescent="0.25">
      <c r="A48" s="178" t="s">
        <v>162</v>
      </c>
      <c r="B48" s="101">
        <v>60129</v>
      </c>
      <c r="C48" s="101">
        <v>104</v>
      </c>
      <c r="D48" t="s">
        <v>367</v>
      </c>
      <c r="E48" t="s">
        <v>304</v>
      </c>
      <c r="F48" t="s">
        <v>755</v>
      </c>
      <c r="G48" s="179">
        <v>50619150</v>
      </c>
      <c r="H48" s="179">
        <v>-7520789</v>
      </c>
      <c r="I48" s="179">
        <v>4233639</v>
      </c>
      <c r="J48" s="179">
        <v>58830229</v>
      </c>
      <c r="K48" s="179">
        <v>-7858480</v>
      </c>
      <c r="L48" s="179">
        <v>3704350</v>
      </c>
      <c r="M48" s="179">
        <v>64194162</v>
      </c>
      <c r="N48" s="179">
        <v>-10609837</v>
      </c>
      <c r="O48" s="179">
        <v>4718457</v>
      </c>
      <c r="P48" s="179">
        <v>5838465865.9127998</v>
      </c>
      <c r="Q48" s="179">
        <v>539097448.80279994</v>
      </c>
      <c r="R48" s="179">
        <v>272047729.13999999</v>
      </c>
      <c r="S48" s="179">
        <v>6245148159.3099995</v>
      </c>
      <c r="T48" s="179">
        <v>252995149.78999913</v>
      </c>
      <c r="U48" s="179">
        <v>297779313.77999997</v>
      </c>
      <c r="V48" s="179">
        <v>6731516165</v>
      </c>
      <c r="W48" s="179">
        <v>281360024</v>
      </c>
      <c r="X48" s="179">
        <v>350330059</v>
      </c>
      <c r="Y48" s="180">
        <v>173643541</v>
      </c>
      <c r="Z48" s="180">
        <v>-25989106</v>
      </c>
      <c r="AA48" s="180">
        <v>12656446</v>
      </c>
      <c r="AB48" s="180">
        <v>18815130190.222801</v>
      </c>
      <c r="AC48" s="180">
        <v>1073452622.5927991</v>
      </c>
      <c r="AD48" s="180">
        <v>920157101.91999996</v>
      </c>
      <c r="AE48" s="100">
        <v>-7.6781779058513897E-2</v>
      </c>
      <c r="AF48" s="100">
        <v>0.1059577958992157</v>
      </c>
      <c r="AG48" s="100">
        <v>0.1059577958992157</v>
      </c>
    </row>
    <row r="49" spans="1:34" x14ac:dyDescent="0.25">
      <c r="A49" s="178" t="s">
        <v>368</v>
      </c>
      <c r="B49" s="101">
        <v>60130</v>
      </c>
      <c r="C49" s="101">
        <v>107</v>
      </c>
      <c r="D49" t="s">
        <v>369</v>
      </c>
      <c r="E49" t="s">
        <v>304</v>
      </c>
      <c r="F49" t="s">
        <v>755</v>
      </c>
      <c r="G49" s="179">
        <v>43369201</v>
      </c>
      <c r="H49" s="179">
        <v>-5319304</v>
      </c>
      <c r="I49" s="179">
        <v>4120395</v>
      </c>
      <c r="J49" s="179">
        <v>48238347</v>
      </c>
      <c r="K49" s="179">
        <v>-5258442</v>
      </c>
      <c r="L49" s="179">
        <v>4339938</v>
      </c>
      <c r="M49" s="179">
        <v>47653377</v>
      </c>
      <c r="N49" s="179">
        <v>-7369673</v>
      </c>
      <c r="O49" s="179">
        <v>4716563</v>
      </c>
      <c r="P49" s="179">
        <v>5838465865.9127998</v>
      </c>
      <c r="Q49" s="179">
        <v>539097448.80279994</v>
      </c>
      <c r="R49" s="179">
        <v>272047729.13999999</v>
      </c>
      <c r="S49" s="179">
        <v>6245148159.3099995</v>
      </c>
      <c r="T49" s="179">
        <v>252995149.78999913</v>
      </c>
      <c r="U49" s="179">
        <v>297779313.77999997</v>
      </c>
      <c r="V49" s="179">
        <v>6731516165</v>
      </c>
      <c r="W49" s="179">
        <v>281360024</v>
      </c>
      <c r="X49" s="179">
        <v>350330059</v>
      </c>
      <c r="Y49" s="180">
        <v>139260925</v>
      </c>
      <c r="Z49" s="180">
        <v>-17947419</v>
      </c>
      <c r="AA49" s="180">
        <v>13176896</v>
      </c>
      <c r="AB49" s="180">
        <v>18815130190.222801</v>
      </c>
      <c r="AC49" s="180">
        <v>1073452622.5927991</v>
      </c>
      <c r="AD49" s="180">
        <v>920157101.91999996</v>
      </c>
      <c r="AE49" s="100">
        <v>-3.425600540855233E-2</v>
      </c>
      <c r="AF49" s="100">
        <v>0.1059577958992157</v>
      </c>
      <c r="AG49" s="100">
        <v>0.1059577958992157</v>
      </c>
    </row>
    <row r="50" spans="1:34" x14ac:dyDescent="0.25">
      <c r="A50" s="182" t="s">
        <v>370</v>
      </c>
      <c r="B50" s="140">
        <v>60131</v>
      </c>
      <c r="C50" s="101">
        <v>109</v>
      </c>
      <c r="D50" t="s">
        <v>371</v>
      </c>
      <c r="E50" t="s">
        <v>304</v>
      </c>
      <c r="F50" t="s">
        <v>755</v>
      </c>
      <c r="G50" s="179">
        <v>145586550</v>
      </c>
      <c r="H50" s="179">
        <v>-13053958</v>
      </c>
      <c r="I50" s="179">
        <v>18701980</v>
      </c>
      <c r="J50" s="179">
        <v>178581890</v>
      </c>
      <c r="K50" s="179">
        <v>-2233727</v>
      </c>
      <c r="L50" s="179">
        <v>19914652</v>
      </c>
      <c r="M50" s="179">
        <v>183003580</v>
      </c>
      <c r="N50" s="179">
        <v>-13646108</v>
      </c>
      <c r="O50" s="179">
        <v>18860891</v>
      </c>
      <c r="P50" s="179">
        <v>5838465865.9127998</v>
      </c>
      <c r="Q50" s="179">
        <v>539097448.80279994</v>
      </c>
      <c r="R50" s="179">
        <v>272047729.13999999</v>
      </c>
      <c r="S50" s="179">
        <v>6245148159.3099995</v>
      </c>
      <c r="T50" s="179">
        <v>252995149.78999913</v>
      </c>
      <c r="U50" s="179">
        <v>297779313.77999997</v>
      </c>
      <c r="V50" s="179">
        <v>6731516165</v>
      </c>
      <c r="W50" s="179">
        <v>281360024</v>
      </c>
      <c r="X50" s="179">
        <v>350330059</v>
      </c>
      <c r="Y50" s="180">
        <v>507172020</v>
      </c>
      <c r="Z50" s="180">
        <v>-28933793</v>
      </c>
      <c r="AA50" s="180">
        <v>57477523</v>
      </c>
      <c r="AB50" s="180">
        <v>18815130190.222801</v>
      </c>
      <c r="AC50" s="180">
        <v>1073452622.5927991</v>
      </c>
      <c r="AD50" s="180">
        <v>920157101.91999996</v>
      </c>
      <c r="AE50" s="100">
        <v>5.6280174919744193E-2</v>
      </c>
      <c r="AF50" s="100">
        <v>0.1059577958992157</v>
      </c>
      <c r="AG50" s="100">
        <v>0.1059577958992157</v>
      </c>
    </row>
    <row r="51" spans="1:34" x14ac:dyDescent="0.25">
      <c r="A51" s="182" t="s">
        <v>372</v>
      </c>
      <c r="B51" s="140">
        <v>60132</v>
      </c>
      <c r="C51" s="101">
        <v>110</v>
      </c>
      <c r="D51" t="s">
        <v>373</v>
      </c>
      <c r="E51" t="s">
        <v>304</v>
      </c>
      <c r="F51" t="s">
        <v>755</v>
      </c>
      <c r="G51" s="179">
        <v>184076740</v>
      </c>
      <c r="H51" s="179">
        <v>-34702447</v>
      </c>
      <c r="I51" s="179">
        <v>33036801</v>
      </c>
      <c r="J51" s="179">
        <v>235513523</v>
      </c>
      <c r="K51" s="179">
        <v>-24124201</v>
      </c>
      <c r="L51" s="179">
        <v>33147092</v>
      </c>
      <c r="M51" s="179">
        <v>257127306</v>
      </c>
      <c r="N51" s="179">
        <v>-10847684</v>
      </c>
      <c r="O51" s="179">
        <v>29050298</v>
      </c>
      <c r="P51" s="179">
        <v>5838465865.9127998</v>
      </c>
      <c r="Q51" s="179">
        <v>539097448.80279994</v>
      </c>
      <c r="R51" s="179">
        <v>272047729.13999999</v>
      </c>
      <c r="S51" s="179">
        <v>6245148159.3099995</v>
      </c>
      <c r="T51" s="179">
        <v>252995149.78999913</v>
      </c>
      <c r="U51" s="179">
        <v>297779313.77999997</v>
      </c>
      <c r="V51" s="179">
        <v>6731516165</v>
      </c>
      <c r="W51" s="179">
        <v>281360024</v>
      </c>
      <c r="X51" s="179">
        <v>350330059</v>
      </c>
      <c r="Y51" s="180">
        <v>676717569</v>
      </c>
      <c r="Z51" s="180">
        <v>-69674332</v>
      </c>
      <c r="AA51" s="180">
        <v>95234191</v>
      </c>
      <c r="AB51" s="180">
        <v>18815130190.222801</v>
      </c>
      <c r="AC51" s="180">
        <v>1073452622.5927991</v>
      </c>
      <c r="AD51" s="180">
        <v>920157101.91999996</v>
      </c>
      <c r="AE51" s="100">
        <v>3.7770349361211868E-2</v>
      </c>
      <c r="AF51" s="100">
        <v>0.1059577958992157</v>
      </c>
      <c r="AG51" s="100">
        <v>0.1059577958992157</v>
      </c>
    </row>
    <row r="52" spans="1:34" s="237" customFormat="1" ht="30" x14ac:dyDescent="0.25">
      <c r="A52" s="238" t="s">
        <v>374</v>
      </c>
      <c r="B52" s="239">
        <v>60133</v>
      </c>
      <c r="C52" s="104">
        <v>115</v>
      </c>
      <c r="D52" s="54" t="s">
        <v>375</v>
      </c>
      <c r="E52" s="54" t="s">
        <v>376</v>
      </c>
      <c r="F52" s="54" t="s">
        <v>755</v>
      </c>
      <c r="G52" s="240" t="s">
        <v>758</v>
      </c>
      <c r="H52" s="240" t="s">
        <v>758</v>
      </c>
      <c r="I52" s="240" t="s">
        <v>758</v>
      </c>
      <c r="J52" s="240" t="s">
        <v>758</v>
      </c>
      <c r="K52" s="240" t="s">
        <v>758</v>
      </c>
      <c r="L52" s="240" t="s">
        <v>758</v>
      </c>
      <c r="M52" s="240" t="s">
        <v>758</v>
      </c>
      <c r="N52" s="240" t="s">
        <v>758</v>
      </c>
      <c r="O52" s="240" t="s">
        <v>758</v>
      </c>
      <c r="P52" s="240">
        <v>2561469913.9053001</v>
      </c>
      <c r="Q52" s="240">
        <v>376557681.68529999</v>
      </c>
      <c r="R52" s="240">
        <v>133102210.90000001</v>
      </c>
      <c r="S52" s="240">
        <v>2704321897</v>
      </c>
      <c r="T52" s="240">
        <v>305599897</v>
      </c>
      <c r="U52" s="240">
        <v>127768694</v>
      </c>
      <c r="V52" s="240">
        <v>2734144193</v>
      </c>
      <c r="W52" s="240">
        <v>246525141</v>
      </c>
      <c r="X52" s="240">
        <v>134335700</v>
      </c>
      <c r="Y52" s="217">
        <v>0</v>
      </c>
      <c r="Z52" s="217">
        <v>0</v>
      </c>
      <c r="AA52" s="217">
        <v>0</v>
      </c>
      <c r="AB52" s="217">
        <v>7999936003.9053001</v>
      </c>
      <c r="AC52" s="217">
        <v>928682719.68529999</v>
      </c>
      <c r="AD52" s="217">
        <v>395206604.89999998</v>
      </c>
      <c r="AE52" s="241" t="s">
        <v>756</v>
      </c>
      <c r="AF52" s="241">
        <v>0.16548748939229285</v>
      </c>
      <c r="AG52" s="221">
        <v>0.16548748939229285</v>
      </c>
      <c r="AH52" s="220" t="s">
        <v>759</v>
      </c>
    </row>
    <row r="53" spans="1:34" x14ac:dyDescent="0.25">
      <c r="A53" s="178" t="s">
        <v>378</v>
      </c>
      <c r="B53" s="101">
        <v>61300</v>
      </c>
      <c r="C53" s="101">
        <v>33</v>
      </c>
      <c r="D53" t="s">
        <v>379</v>
      </c>
      <c r="E53">
        <v>0</v>
      </c>
      <c r="F53" t="s">
        <v>760</v>
      </c>
      <c r="G53" s="179">
        <v>9719170.1999999993</v>
      </c>
      <c r="H53" s="179">
        <v>-371600.39</v>
      </c>
      <c r="I53" s="179">
        <v>436569.4</v>
      </c>
      <c r="J53" s="179">
        <v>10540995</v>
      </c>
      <c r="K53" s="179">
        <v>97163</v>
      </c>
      <c r="L53" s="179">
        <v>463478</v>
      </c>
      <c r="M53" s="179">
        <v>9990539</v>
      </c>
      <c r="N53" s="179">
        <v>-760255</v>
      </c>
      <c r="O53" s="179">
        <v>382941</v>
      </c>
      <c r="P53" s="179">
        <v>0</v>
      </c>
      <c r="Q53" s="179">
        <v>0</v>
      </c>
      <c r="R53" s="179">
        <v>0</v>
      </c>
      <c r="S53" s="179">
        <v>0</v>
      </c>
      <c r="T53" s="179">
        <v>0</v>
      </c>
      <c r="U53" s="179">
        <v>0</v>
      </c>
      <c r="V53" s="179">
        <v>0</v>
      </c>
      <c r="W53" s="179">
        <v>0</v>
      </c>
      <c r="X53" s="179">
        <v>0</v>
      </c>
      <c r="Y53" s="180">
        <v>30250704.199999999</v>
      </c>
      <c r="Z53" s="180">
        <v>-1034692.39</v>
      </c>
      <c r="AA53" s="180">
        <v>1282988.3999999999</v>
      </c>
      <c r="AB53" s="180">
        <v>0</v>
      </c>
      <c r="AC53" s="180">
        <v>0</v>
      </c>
      <c r="AD53" s="180">
        <v>0</v>
      </c>
      <c r="AE53" s="100">
        <v>8.2079414865323993E-3</v>
      </c>
      <c r="AF53" s="100" t="s">
        <v>756</v>
      </c>
      <c r="AG53" s="100">
        <v>8.2079414865323993E-3</v>
      </c>
    </row>
    <row r="54" spans="1:34" x14ac:dyDescent="0.25">
      <c r="A54" s="178" t="s">
        <v>380</v>
      </c>
      <c r="B54" s="101">
        <v>61301</v>
      </c>
      <c r="C54" s="101">
        <v>78</v>
      </c>
      <c r="D54" t="s">
        <v>381</v>
      </c>
      <c r="E54">
        <v>0</v>
      </c>
      <c r="F54" t="s">
        <v>760</v>
      </c>
      <c r="G54" s="179">
        <v>24662689</v>
      </c>
      <c r="H54" s="179">
        <v>-90775</v>
      </c>
      <c r="I54" s="179">
        <v>1250856</v>
      </c>
      <c r="J54" s="179">
        <v>27737745.770000003</v>
      </c>
      <c r="K54" s="179">
        <v>-660679.22999999672</v>
      </c>
      <c r="L54" s="179">
        <v>1281926</v>
      </c>
      <c r="M54" s="179">
        <v>29517780</v>
      </c>
      <c r="N54" s="179">
        <v>-2158250</v>
      </c>
      <c r="O54" s="179">
        <v>1386855</v>
      </c>
      <c r="P54" s="179">
        <v>0</v>
      </c>
      <c r="Q54" s="179">
        <v>0</v>
      </c>
      <c r="R54" s="179">
        <v>0</v>
      </c>
      <c r="S54" s="179">
        <v>0</v>
      </c>
      <c r="T54" s="179">
        <v>0</v>
      </c>
      <c r="U54" s="179">
        <v>0</v>
      </c>
      <c r="V54" s="179">
        <v>0</v>
      </c>
      <c r="W54" s="179">
        <v>0</v>
      </c>
      <c r="X54" s="179">
        <v>0</v>
      </c>
      <c r="Y54" s="180">
        <v>81918214.770000011</v>
      </c>
      <c r="Z54" s="180">
        <v>-2909704.2299999967</v>
      </c>
      <c r="AA54" s="180">
        <v>3919637</v>
      </c>
      <c r="AB54" s="180">
        <v>0</v>
      </c>
      <c r="AC54" s="180">
        <v>0</v>
      </c>
      <c r="AD54" s="180">
        <v>0</v>
      </c>
      <c r="AE54" s="100">
        <v>1.2328549551959471E-2</v>
      </c>
      <c r="AF54" s="100" t="s">
        <v>756</v>
      </c>
      <c r="AG54" s="100">
        <v>1.2328549551959471E-2</v>
      </c>
    </row>
    <row r="55" spans="1:34" x14ac:dyDescent="0.25">
      <c r="A55" s="178" t="s">
        <v>382</v>
      </c>
      <c r="B55" s="101">
        <v>61302</v>
      </c>
      <c r="C55" s="101">
        <v>51</v>
      </c>
      <c r="D55" t="s">
        <v>383</v>
      </c>
      <c r="E55">
        <v>0</v>
      </c>
      <c r="F55" t="s">
        <v>760</v>
      </c>
      <c r="G55" s="179">
        <v>63930925.350000001</v>
      </c>
      <c r="H55" s="179">
        <v>10759898.91</v>
      </c>
      <c r="I55" s="179">
        <v>1988647.95</v>
      </c>
      <c r="J55" s="179">
        <v>78735993</v>
      </c>
      <c r="K55" s="179">
        <v>-953629</v>
      </c>
      <c r="L55" s="179">
        <v>2746785</v>
      </c>
      <c r="M55" s="179">
        <v>82990442</v>
      </c>
      <c r="N55" s="179">
        <v>749740</v>
      </c>
      <c r="O55" s="179">
        <v>2854033</v>
      </c>
      <c r="P55" s="179">
        <v>0</v>
      </c>
      <c r="Q55" s="179">
        <v>0</v>
      </c>
      <c r="R55" s="179">
        <v>0</v>
      </c>
      <c r="S55" s="179">
        <v>0</v>
      </c>
      <c r="T55" s="179">
        <v>0</v>
      </c>
      <c r="U55" s="179">
        <v>0</v>
      </c>
      <c r="V55" s="179">
        <v>0</v>
      </c>
      <c r="W55" s="179">
        <v>0</v>
      </c>
      <c r="X55" s="179">
        <v>0</v>
      </c>
      <c r="Y55" s="180">
        <v>225657360.34999999</v>
      </c>
      <c r="Z55" s="180">
        <v>10556009.91</v>
      </c>
      <c r="AA55" s="180">
        <v>7589465.9500000002</v>
      </c>
      <c r="AB55" s="180">
        <v>0</v>
      </c>
      <c r="AC55" s="180">
        <v>0</v>
      </c>
      <c r="AD55" s="180">
        <v>0</v>
      </c>
      <c r="AE55" s="100">
        <v>8.0411628638462893E-2</v>
      </c>
      <c r="AF55" s="100" t="s">
        <v>756</v>
      </c>
      <c r="AG55" s="100">
        <v>8.0411628638462893E-2</v>
      </c>
    </row>
    <row r="56" spans="1:34" x14ac:dyDescent="0.25">
      <c r="A56" s="178" t="s">
        <v>384</v>
      </c>
      <c r="B56" s="101">
        <v>61303</v>
      </c>
      <c r="C56" s="101">
        <v>8</v>
      </c>
      <c r="D56" t="s">
        <v>385</v>
      </c>
      <c r="E56" t="s">
        <v>289</v>
      </c>
      <c r="F56" t="s">
        <v>760</v>
      </c>
      <c r="G56" s="179">
        <v>40278405</v>
      </c>
      <c r="H56" s="179">
        <v>4111539</v>
      </c>
      <c r="I56" s="179">
        <v>556864</v>
      </c>
      <c r="J56" s="179">
        <v>41303425</v>
      </c>
      <c r="K56" s="179">
        <v>2682129</v>
      </c>
      <c r="L56" s="179">
        <v>587133</v>
      </c>
      <c r="M56" s="179">
        <v>43170261</v>
      </c>
      <c r="N56" s="179">
        <v>3513689</v>
      </c>
      <c r="O56" s="179">
        <v>535498</v>
      </c>
      <c r="P56" s="179">
        <v>639354872.58999991</v>
      </c>
      <c r="Q56" s="179">
        <v>-10443748.41</v>
      </c>
      <c r="R56" s="179">
        <v>44320700</v>
      </c>
      <c r="S56" s="179">
        <v>601531500</v>
      </c>
      <c r="T56" s="179">
        <v>-29502340</v>
      </c>
      <c r="U56" s="179">
        <v>38925678</v>
      </c>
      <c r="V56" s="179">
        <v>649270863</v>
      </c>
      <c r="W56" s="179">
        <v>23874481</v>
      </c>
      <c r="X56" s="179">
        <v>31769258</v>
      </c>
      <c r="Y56" s="180">
        <v>124752091</v>
      </c>
      <c r="Z56" s="180">
        <v>10307357</v>
      </c>
      <c r="AA56" s="180">
        <v>1679495</v>
      </c>
      <c r="AB56" s="180">
        <v>1890157235.5899999</v>
      </c>
      <c r="AC56" s="180">
        <v>-16071607.409999996</v>
      </c>
      <c r="AD56" s="180">
        <v>115015636</v>
      </c>
      <c r="AE56" s="100">
        <v>9.6085379442658006E-2</v>
      </c>
      <c r="AF56" s="100">
        <v>5.234698295304268E-2</v>
      </c>
      <c r="AG56" s="100">
        <v>9.6085379442658006E-2</v>
      </c>
    </row>
    <row r="57" spans="1:34" x14ac:dyDescent="0.25">
      <c r="A57" s="178" t="s">
        <v>386</v>
      </c>
      <c r="B57" s="101">
        <v>61304</v>
      </c>
      <c r="C57" s="101">
        <v>12</v>
      </c>
      <c r="D57" t="s">
        <v>387</v>
      </c>
      <c r="E57">
        <v>0</v>
      </c>
      <c r="F57" t="s">
        <v>760</v>
      </c>
      <c r="G57" s="179">
        <v>15070655</v>
      </c>
      <c r="H57" s="179">
        <v>2626197.37</v>
      </c>
      <c r="I57" s="179">
        <v>347448</v>
      </c>
      <c r="J57" s="179">
        <v>13472516</v>
      </c>
      <c r="K57" s="179">
        <v>301307</v>
      </c>
      <c r="L57" s="179">
        <v>344833</v>
      </c>
      <c r="M57" s="179">
        <v>14148728</v>
      </c>
      <c r="N57" s="179">
        <v>-764909</v>
      </c>
      <c r="O57" s="179">
        <v>354736</v>
      </c>
      <c r="P57" s="179">
        <v>0</v>
      </c>
      <c r="Q57" s="179">
        <v>0</v>
      </c>
      <c r="R57" s="179">
        <v>0</v>
      </c>
      <c r="S57" s="179">
        <v>0</v>
      </c>
      <c r="T57" s="179">
        <v>0</v>
      </c>
      <c r="U57" s="179">
        <v>0</v>
      </c>
      <c r="V57" s="179">
        <v>0</v>
      </c>
      <c r="W57" s="179">
        <v>0</v>
      </c>
      <c r="X57" s="179">
        <v>0</v>
      </c>
      <c r="Y57" s="180">
        <v>42691899</v>
      </c>
      <c r="Z57" s="180">
        <v>2162595.37</v>
      </c>
      <c r="AA57" s="180">
        <v>1047017</v>
      </c>
      <c r="AB57" s="180">
        <v>0</v>
      </c>
      <c r="AC57" s="180">
        <v>0</v>
      </c>
      <c r="AD57" s="180">
        <v>0</v>
      </c>
      <c r="AE57" s="100">
        <v>7.5180829271614277E-2</v>
      </c>
      <c r="AF57" s="100" t="s">
        <v>756</v>
      </c>
      <c r="AG57" s="100">
        <v>7.5180829271614277E-2</v>
      </c>
    </row>
    <row r="58" spans="1:34" x14ac:dyDescent="0.25">
      <c r="A58" s="178" t="s">
        <v>388</v>
      </c>
      <c r="B58" s="101">
        <v>61305</v>
      </c>
      <c r="C58" s="101">
        <v>18</v>
      </c>
      <c r="D58" t="s">
        <v>389</v>
      </c>
      <c r="E58">
        <v>0</v>
      </c>
      <c r="F58" t="s">
        <v>760</v>
      </c>
      <c r="G58" s="179">
        <v>20867702</v>
      </c>
      <c r="H58" s="179">
        <v>-974710</v>
      </c>
      <c r="I58" s="179">
        <v>1609668</v>
      </c>
      <c r="J58" s="179">
        <v>24148601</v>
      </c>
      <c r="K58" s="179">
        <v>-249910</v>
      </c>
      <c r="L58" s="179">
        <v>1895744</v>
      </c>
      <c r="M58" s="179">
        <v>23418580</v>
      </c>
      <c r="N58" s="179">
        <v>-1621630</v>
      </c>
      <c r="O58" s="179">
        <v>1832879</v>
      </c>
      <c r="P58" s="179">
        <v>0</v>
      </c>
      <c r="Q58" s="179">
        <v>0</v>
      </c>
      <c r="R58" s="179">
        <v>0</v>
      </c>
      <c r="S58" s="179">
        <v>0</v>
      </c>
      <c r="T58" s="179">
        <v>0</v>
      </c>
      <c r="U58" s="179">
        <v>0</v>
      </c>
      <c r="V58" s="179">
        <v>0</v>
      </c>
      <c r="W58" s="179">
        <v>0</v>
      </c>
      <c r="X58" s="179">
        <v>0</v>
      </c>
      <c r="Y58" s="180">
        <v>68434883</v>
      </c>
      <c r="Z58" s="180">
        <v>-2846250</v>
      </c>
      <c r="AA58" s="180">
        <v>5338291</v>
      </c>
      <c r="AB58" s="180">
        <v>0</v>
      </c>
      <c r="AC58" s="180">
        <v>0</v>
      </c>
      <c r="AD58" s="180">
        <v>0</v>
      </c>
      <c r="AE58" s="100">
        <v>3.6414776949351982E-2</v>
      </c>
      <c r="AF58" s="100" t="s">
        <v>756</v>
      </c>
      <c r="AG58" s="100">
        <v>3.6414776949351982E-2</v>
      </c>
    </row>
    <row r="59" spans="1:34" x14ac:dyDescent="0.25">
      <c r="A59" s="178" t="s">
        <v>390</v>
      </c>
      <c r="B59" s="101">
        <v>61306</v>
      </c>
      <c r="C59" s="101">
        <v>17</v>
      </c>
      <c r="D59" t="s">
        <v>391</v>
      </c>
      <c r="E59">
        <v>0</v>
      </c>
      <c r="F59" t="s">
        <v>760</v>
      </c>
      <c r="G59" s="179">
        <v>22414625.350000001</v>
      </c>
      <c r="H59" s="179">
        <v>-1279137.6200000001</v>
      </c>
      <c r="I59" s="179">
        <v>529497.24</v>
      </c>
      <c r="J59" s="179">
        <v>23208796</v>
      </c>
      <c r="K59" s="179">
        <v>-2679982</v>
      </c>
      <c r="L59" s="179">
        <v>644433</v>
      </c>
      <c r="M59" s="179">
        <v>27248521</v>
      </c>
      <c r="N59" s="179">
        <v>-3354834</v>
      </c>
      <c r="O59" s="179">
        <v>1363702</v>
      </c>
      <c r="P59" s="179">
        <v>0</v>
      </c>
      <c r="Q59" s="179">
        <v>0</v>
      </c>
      <c r="R59" s="179">
        <v>0</v>
      </c>
      <c r="S59" s="179">
        <v>0</v>
      </c>
      <c r="T59" s="179">
        <v>0</v>
      </c>
      <c r="U59" s="179">
        <v>0</v>
      </c>
      <c r="V59" s="179">
        <v>0</v>
      </c>
      <c r="W59" s="179">
        <v>0</v>
      </c>
      <c r="X59" s="179">
        <v>0</v>
      </c>
      <c r="Y59" s="180">
        <v>72871942.349999994</v>
      </c>
      <c r="Z59" s="180">
        <v>-7313953.6200000001</v>
      </c>
      <c r="AA59" s="180">
        <v>2537632.2400000002</v>
      </c>
      <c r="AB59" s="180">
        <v>0</v>
      </c>
      <c r="AC59" s="180">
        <v>0</v>
      </c>
      <c r="AD59" s="180">
        <v>0</v>
      </c>
      <c r="AE59" s="100">
        <v>-6.5544038294733334E-2</v>
      </c>
      <c r="AF59" s="100" t="s">
        <v>756</v>
      </c>
      <c r="AG59" s="100">
        <v>-6.5544038294733334E-2</v>
      </c>
    </row>
    <row r="60" spans="1:34" x14ac:dyDescent="0.25">
      <c r="A60" s="178" t="s">
        <v>392</v>
      </c>
      <c r="B60" s="101">
        <v>61307</v>
      </c>
      <c r="C60" s="101">
        <v>27</v>
      </c>
      <c r="D60" t="s">
        <v>393</v>
      </c>
      <c r="E60">
        <v>0</v>
      </c>
      <c r="F60" t="s">
        <v>760</v>
      </c>
      <c r="G60" s="179">
        <v>14766393.300000001</v>
      </c>
      <c r="H60" s="179">
        <v>-4628230.7</v>
      </c>
      <c r="I60" s="179">
        <v>1966379</v>
      </c>
      <c r="J60" s="179">
        <v>14911446</v>
      </c>
      <c r="K60" s="179">
        <v>-6256754</v>
      </c>
      <c r="L60" s="179">
        <v>2057445</v>
      </c>
      <c r="M60" s="179">
        <v>18590521</v>
      </c>
      <c r="N60" s="179">
        <v>-3090816</v>
      </c>
      <c r="O60" s="179">
        <v>1730497</v>
      </c>
      <c r="P60" s="179">
        <v>0</v>
      </c>
      <c r="Q60" s="179">
        <v>0</v>
      </c>
      <c r="R60" s="179">
        <v>0</v>
      </c>
      <c r="S60" s="179">
        <v>0</v>
      </c>
      <c r="T60" s="179">
        <v>0</v>
      </c>
      <c r="U60" s="179">
        <v>0</v>
      </c>
      <c r="V60" s="179">
        <v>0</v>
      </c>
      <c r="W60" s="179">
        <v>0</v>
      </c>
      <c r="X60" s="179">
        <v>0</v>
      </c>
      <c r="Y60" s="180">
        <v>48268360.299999997</v>
      </c>
      <c r="Z60" s="180">
        <v>-13975800.699999999</v>
      </c>
      <c r="AA60" s="180">
        <v>5754321</v>
      </c>
      <c r="AB60" s="180">
        <v>0</v>
      </c>
      <c r="AC60" s="180">
        <v>0</v>
      </c>
      <c r="AD60" s="180">
        <v>0</v>
      </c>
      <c r="AE60" s="100">
        <v>-0.1703285474978109</v>
      </c>
      <c r="AF60" s="100" t="s">
        <v>756</v>
      </c>
      <c r="AG60" s="100">
        <v>-0.1703285474978109</v>
      </c>
    </row>
    <row r="61" spans="1:34" x14ac:dyDescent="0.25">
      <c r="A61" s="178" t="s">
        <v>394</v>
      </c>
      <c r="B61" s="101">
        <v>61308</v>
      </c>
      <c r="C61" s="101">
        <v>46</v>
      </c>
      <c r="D61" t="s">
        <v>395</v>
      </c>
      <c r="E61" t="s">
        <v>300</v>
      </c>
      <c r="F61" t="s">
        <v>760</v>
      </c>
      <c r="G61" s="179">
        <v>12604825</v>
      </c>
      <c r="H61" s="179">
        <v>2502569</v>
      </c>
      <c r="I61" s="179">
        <v>553728</v>
      </c>
      <c r="J61" s="179">
        <v>14715763</v>
      </c>
      <c r="K61" s="179">
        <v>2163739</v>
      </c>
      <c r="L61" s="179">
        <v>503522</v>
      </c>
      <c r="M61" s="179">
        <v>14610048</v>
      </c>
      <c r="N61" s="179">
        <v>1324520</v>
      </c>
      <c r="O61" s="179">
        <v>633142</v>
      </c>
      <c r="P61" s="179">
        <v>117630879.29000001</v>
      </c>
      <c r="Q61" s="179">
        <v>8065085.29</v>
      </c>
      <c r="R61" s="179">
        <v>4326782</v>
      </c>
      <c r="S61" s="179">
        <v>124232473</v>
      </c>
      <c r="T61" s="179">
        <v>3685955</v>
      </c>
      <c r="U61" s="179">
        <v>4599920</v>
      </c>
      <c r="V61" s="179">
        <v>127189330</v>
      </c>
      <c r="W61" s="179">
        <v>1129837</v>
      </c>
      <c r="X61" s="179">
        <v>5214557</v>
      </c>
      <c r="Y61" s="180">
        <v>41930636</v>
      </c>
      <c r="Z61" s="180">
        <v>5990828</v>
      </c>
      <c r="AA61" s="180">
        <v>1690392</v>
      </c>
      <c r="AB61" s="180">
        <v>369052682.29000002</v>
      </c>
      <c r="AC61" s="180">
        <v>12880877.289999999</v>
      </c>
      <c r="AD61" s="180">
        <v>14141259</v>
      </c>
      <c r="AE61" s="100">
        <v>0.18318873102711822</v>
      </c>
      <c r="AF61" s="100">
        <v>7.3220267963710714E-2</v>
      </c>
      <c r="AG61" s="100">
        <v>0.18318873102711822</v>
      </c>
    </row>
    <row r="62" spans="1:34" x14ac:dyDescent="0.25">
      <c r="A62" s="178" t="s">
        <v>164</v>
      </c>
      <c r="B62" s="101">
        <v>61309</v>
      </c>
      <c r="C62" s="101">
        <v>34</v>
      </c>
      <c r="D62" t="s">
        <v>219</v>
      </c>
      <c r="E62">
        <v>0</v>
      </c>
      <c r="F62" t="s">
        <v>760</v>
      </c>
      <c r="G62" s="179">
        <v>31019354</v>
      </c>
      <c r="H62" s="179">
        <v>1427948</v>
      </c>
      <c r="I62" s="179">
        <v>1128891</v>
      </c>
      <c r="J62" s="179">
        <v>34376217</v>
      </c>
      <c r="K62" s="179">
        <v>1734644</v>
      </c>
      <c r="L62" s="179">
        <v>1168243</v>
      </c>
      <c r="M62" s="179">
        <v>36898370</v>
      </c>
      <c r="N62" s="179">
        <v>-277074</v>
      </c>
      <c r="O62" s="179">
        <v>2123462</v>
      </c>
      <c r="P62" s="179">
        <v>0</v>
      </c>
      <c r="Q62" s="179">
        <v>0</v>
      </c>
      <c r="R62" s="179">
        <v>0</v>
      </c>
      <c r="S62" s="179">
        <v>0</v>
      </c>
      <c r="T62" s="179">
        <v>0</v>
      </c>
      <c r="U62" s="179">
        <v>0</v>
      </c>
      <c r="V62" s="179">
        <v>0</v>
      </c>
      <c r="W62" s="179">
        <v>0</v>
      </c>
      <c r="X62" s="179">
        <v>0</v>
      </c>
      <c r="Y62" s="180">
        <v>102293941</v>
      </c>
      <c r="Z62" s="180">
        <v>2885518</v>
      </c>
      <c r="AA62" s="180">
        <v>4420596</v>
      </c>
      <c r="AB62" s="180">
        <v>0</v>
      </c>
      <c r="AC62" s="180">
        <v>0</v>
      </c>
      <c r="AD62" s="180">
        <v>0</v>
      </c>
      <c r="AE62" s="100">
        <v>7.1422744383267039E-2</v>
      </c>
      <c r="AF62" s="100" t="s">
        <v>756</v>
      </c>
      <c r="AG62" s="100">
        <v>7.1422744383267039E-2</v>
      </c>
    </row>
    <row r="63" spans="1:34" x14ac:dyDescent="0.25">
      <c r="A63" s="178" t="s">
        <v>396</v>
      </c>
      <c r="B63" s="101">
        <v>61310</v>
      </c>
      <c r="C63" s="101">
        <v>28</v>
      </c>
      <c r="D63" t="s">
        <v>397</v>
      </c>
      <c r="E63">
        <v>0</v>
      </c>
      <c r="F63" t="s">
        <v>760</v>
      </c>
      <c r="G63" s="179">
        <v>15537664</v>
      </c>
      <c r="H63" s="179">
        <v>1400338</v>
      </c>
      <c r="I63" s="179">
        <v>787601</v>
      </c>
      <c r="J63" s="179">
        <v>16172664</v>
      </c>
      <c r="K63" s="179">
        <v>-12415</v>
      </c>
      <c r="L63" s="179">
        <v>916375</v>
      </c>
      <c r="M63" s="179">
        <v>13748140</v>
      </c>
      <c r="N63" s="179">
        <v>-2313940</v>
      </c>
      <c r="O63" s="179">
        <v>874093</v>
      </c>
      <c r="P63" s="179">
        <v>0</v>
      </c>
      <c r="Q63" s="179">
        <v>0</v>
      </c>
      <c r="R63" s="179">
        <v>0</v>
      </c>
      <c r="S63" s="179">
        <v>0</v>
      </c>
      <c r="T63" s="179">
        <v>0</v>
      </c>
      <c r="U63" s="179">
        <v>0</v>
      </c>
      <c r="V63" s="179">
        <v>0</v>
      </c>
      <c r="W63" s="179">
        <v>0</v>
      </c>
      <c r="X63" s="179">
        <v>0</v>
      </c>
      <c r="Y63" s="180">
        <v>45458468</v>
      </c>
      <c r="Z63" s="180">
        <v>-926017</v>
      </c>
      <c r="AA63" s="180">
        <v>2578069</v>
      </c>
      <c r="AB63" s="180">
        <v>0</v>
      </c>
      <c r="AC63" s="180">
        <v>0</v>
      </c>
      <c r="AD63" s="180">
        <v>0</v>
      </c>
      <c r="AE63" s="100">
        <v>3.6342007830092296E-2</v>
      </c>
      <c r="AF63" s="100" t="s">
        <v>756</v>
      </c>
      <c r="AG63" s="100">
        <v>3.6342007830092296E-2</v>
      </c>
    </row>
    <row r="64" spans="1:34" x14ac:dyDescent="0.25">
      <c r="A64" s="178" t="s">
        <v>398</v>
      </c>
      <c r="B64" s="101">
        <v>61311</v>
      </c>
      <c r="C64" s="101">
        <v>29</v>
      </c>
      <c r="D64" t="s">
        <v>399</v>
      </c>
      <c r="E64">
        <v>0</v>
      </c>
      <c r="F64" t="s">
        <v>760</v>
      </c>
      <c r="G64" s="179">
        <v>23515918</v>
      </c>
      <c r="H64" s="179">
        <v>1928265</v>
      </c>
      <c r="I64" s="179">
        <v>807207</v>
      </c>
      <c r="J64" s="179">
        <v>20276313</v>
      </c>
      <c r="K64" s="179">
        <v>-2125863</v>
      </c>
      <c r="L64" s="179">
        <v>954777</v>
      </c>
      <c r="M64" s="179">
        <v>20000696</v>
      </c>
      <c r="N64" s="179">
        <v>-3188064</v>
      </c>
      <c r="O64" s="179">
        <v>948728</v>
      </c>
      <c r="P64" s="179">
        <v>0</v>
      </c>
      <c r="Q64" s="179">
        <v>0</v>
      </c>
      <c r="R64" s="179">
        <v>0</v>
      </c>
      <c r="S64" s="179">
        <v>0</v>
      </c>
      <c r="T64" s="179">
        <v>0</v>
      </c>
      <c r="U64" s="179">
        <v>0</v>
      </c>
      <c r="V64" s="179">
        <v>0</v>
      </c>
      <c r="W64" s="179">
        <v>0</v>
      </c>
      <c r="X64" s="179">
        <v>0</v>
      </c>
      <c r="Y64" s="180">
        <v>63792927</v>
      </c>
      <c r="Z64" s="180">
        <v>-3385662</v>
      </c>
      <c r="AA64" s="180">
        <v>2710712</v>
      </c>
      <c r="AB64" s="180">
        <v>0</v>
      </c>
      <c r="AC64" s="180">
        <v>0</v>
      </c>
      <c r="AD64" s="180">
        <v>0</v>
      </c>
      <c r="AE64" s="100">
        <v>-1.0580326561908658E-2</v>
      </c>
      <c r="AF64" s="100" t="s">
        <v>756</v>
      </c>
      <c r="AG64" s="100">
        <v>-1.0580326561908658E-2</v>
      </c>
    </row>
    <row r="65" spans="1:35" x14ac:dyDescent="0.25">
      <c r="A65" s="178" t="s">
        <v>400</v>
      </c>
      <c r="B65" s="101">
        <v>61312</v>
      </c>
      <c r="C65" s="101">
        <v>9</v>
      </c>
      <c r="D65" t="s">
        <v>401</v>
      </c>
      <c r="E65">
        <v>0</v>
      </c>
      <c r="F65" t="s">
        <v>760</v>
      </c>
      <c r="G65" s="179">
        <v>51849580</v>
      </c>
      <c r="H65" s="179">
        <v>-5279019</v>
      </c>
      <c r="I65" s="179">
        <v>3231689</v>
      </c>
      <c r="J65" s="179">
        <v>52898271</v>
      </c>
      <c r="K65" s="179">
        <v>-11668512</v>
      </c>
      <c r="L65" s="179">
        <v>4308016</v>
      </c>
      <c r="M65" s="179">
        <v>56783127</v>
      </c>
      <c r="N65" s="179">
        <v>-6327583</v>
      </c>
      <c r="O65" s="179">
        <v>3831342</v>
      </c>
      <c r="P65" s="179">
        <v>0</v>
      </c>
      <c r="Q65" s="179">
        <v>0</v>
      </c>
      <c r="R65" s="179">
        <v>0</v>
      </c>
      <c r="S65" s="179">
        <v>0</v>
      </c>
      <c r="T65" s="179">
        <v>0</v>
      </c>
      <c r="U65" s="179">
        <v>0</v>
      </c>
      <c r="V65" s="179">
        <v>0</v>
      </c>
      <c r="W65" s="179">
        <v>0</v>
      </c>
      <c r="X65" s="179">
        <v>0</v>
      </c>
      <c r="Y65" s="180">
        <v>161530978</v>
      </c>
      <c r="Z65" s="180">
        <v>-23275114</v>
      </c>
      <c r="AA65" s="180">
        <v>11371047</v>
      </c>
      <c r="AB65" s="180">
        <v>0</v>
      </c>
      <c r="AC65" s="180">
        <v>0</v>
      </c>
      <c r="AD65" s="180">
        <v>0</v>
      </c>
      <c r="AE65" s="100">
        <v>-7.3695257388957311E-2</v>
      </c>
      <c r="AF65" s="100" t="s">
        <v>756</v>
      </c>
      <c r="AG65" s="100">
        <v>-7.3695257388957311E-2</v>
      </c>
    </row>
    <row r="66" spans="1:35" x14ac:dyDescent="0.25">
      <c r="A66" s="178" t="s">
        <v>402</v>
      </c>
      <c r="B66" s="101">
        <v>61313</v>
      </c>
      <c r="C66" s="101">
        <v>15</v>
      </c>
      <c r="D66" t="s">
        <v>403</v>
      </c>
      <c r="E66">
        <v>0</v>
      </c>
      <c r="F66" t="s">
        <v>760</v>
      </c>
      <c r="G66" s="179">
        <v>22234062</v>
      </c>
      <c r="H66" s="179">
        <v>2016507</v>
      </c>
      <c r="I66" s="179">
        <v>1143931</v>
      </c>
      <c r="J66" s="179">
        <v>20427216</v>
      </c>
      <c r="K66" s="179">
        <v>-1730482</v>
      </c>
      <c r="L66" s="179">
        <v>1097491</v>
      </c>
      <c r="M66" s="179">
        <v>24184564</v>
      </c>
      <c r="N66" s="179">
        <v>2460438</v>
      </c>
      <c r="O66" s="179">
        <v>984282</v>
      </c>
      <c r="P66" s="179">
        <v>0</v>
      </c>
      <c r="Q66" s="179">
        <v>0</v>
      </c>
      <c r="R66" s="179">
        <v>0</v>
      </c>
      <c r="S66" s="179">
        <v>0</v>
      </c>
      <c r="T66" s="179">
        <v>0</v>
      </c>
      <c r="U66" s="179">
        <v>0</v>
      </c>
      <c r="V66" s="179">
        <v>0</v>
      </c>
      <c r="W66" s="179">
        <v>0</v>
      </c>
      <c r="X66" s="179">
        <v>0</v>
      </c>
      <c r="Y66" s="180">
        <v>66845842</v>
      </c>
      <c r="Z66" s="180">
        <v>2746463</v>
      </c>
      <c r="AA66" s="180">
        <v>3225704</v>
      </c>
      <c r="AB66" s="180">
        <v>0</v>
      </c>
      <c r="AC66" s="180">
        <v>0</v>
      </c>
      <c r="AD66" s="180">
        <v>0</v>
      </c>
      <c r="AE66" s="100">
        <v>8.9342385723856985E-2</v>
      </c>
      <c r="AF66" s="100" t="s">
        <v>756</v>
      </c>
      <c r="AG66" s="100">
        <v>8.9342385723856985E-2</v>
      </c>
    </row>
    <row r="67" spans="1:35" x14ac:dyDescent="0.25">
      <c r="A67" s="178" t="s">
        <v>404</v>
      </c>
      <c r="B67" s="101">
        <v>61314</v>
      </c>
      <c r="C67" s="101">
        <v>20</v>
      </c>
      <c r="D67" t="s">
        <v>405</v>
      </c>
      <c r="E67">
        <v>0</v>
      </c>
      <c r="F67" t="s">
        <v>760</v>
      </c>
      <c r="G67" s="179">
        <v>64351586.259999998</v>
      </c>
      <c r="H67" s="179">
        <v>163834.26999999999</v>
      </c>
      <c r="I67" s="179">
        <v>3887704.72</v>
      </c>
      <c r="J67" s="179">
        <v>63314220</v>
      </c>
      <c r="K67" s="179">
        <v>-493899</v>
      </c>
      <c r="L67" s="179">
        <v>4230769</v>
      </c>
      <c r="M67" s="179">
        <v>69588289</v>
      </c>
      <c r="N67" s="179">
        <v>2381972</v>
      </c>
      <c r="O67" s="179">
        <v>4306686</v>
      </c>
      <c r="P67" s="179">
        <v>0</v>
      </c>
      <c r="Q67" s="179">
        <v>0</v>
      </c>
      <c r="R67" s="179">
        <v>0</v>
      </c>
      <c r="S67" s="179">
        <v>0</v>
      </c>
      <c r="T67" s="179">
        <v>0</v>
      </c>
      <c r="U67" s="179">
        <v>0</v>
      </c>
      <c r="V67" s="179">
        <v>0</v>
      </c>
      <c r="W67" s="179">
        <v>0</v>
      </c>
      <c r="X67" s="179">
        <v>0</v>
      </c>
      <c r="Y67" s="180">
        <v>197254095.25999999</v>
      </c>
      <c r="Z67" s="180">
        <v>2051907.27</v>
      </c>
      <c r="AA67" s="180">
        <v>12425159.720000001</v>
      </c>
      <c r="AB67" s="180">
        <v>0</v>
      </c>
      <c r="AC67" s="180">
        <v>0</v>
      </c>
      <c r="AD67" s="180">
        <v>0</v>
      </c>
      <c r="AE67" s="100">
        <v>7.3392985686395129E-2</v>
      </c>
      <c r="AF67" s="100" t="s">
        <v>756</v>
      </c>
      <c r="AG67" s="100">
        <v>7.3392985686395129E-2</v>
      </c>
    </row>
    <row r="68" spans="1:35" x14ac:dyDescent="0.25">
      <c r="A68" s="178" t="s">
        <v>406</v>
      </c>
      <c r="B68" s="101">
        <v>61315</v>
      </c>
      <c r="C68" s="101">
        <v>35</v>
      </c>
      <c r="D68" t="s">
        <v>407</v>
      </c>
      <c r="E68">
        <v>0</v>
      </c>
      <c r="F68" t="s">
        <v>760</v>
      </c>
      <c r="G68" s="179">
        <v>19025222.399999999</v>
      </c>
      <c r="H68" s="179">
        <v>-674526.29</v>
      </c>
      <c r="I68" s="179">
        <v>856226.67</v>
      </c>
      <c r="J68" s="179">
        <v>22110975</v>
      </c>
      <c r="K68" s="179">
        <v>-2720161.5</v>
      </c>
      <c r="L68" s="179">
        <v>896825.7</v>
      </c>
      <c r="M68" s="179">
        <v>22106648</v>
      </c>
      <c r="N68" s="179">
        <v>-3735508</v>
      </c>
      <c r="O68" s="179">
        <v>1102479</v>
      </c>
      <c r="P68" s="179">
        <v>0</v>
      </c>
      <c r="Q68" s="179">
        <v>0</v>
      </c>
      <c r="R68" s="179">
        <v>0</v>
      </c>
      <c r="S68" s="179">
        <v>0</v>
      </c>
      <c r="T68" s="179">
        <v>0</v>
      </c>
      <c r="U68" s="179">
        <v>0</v>
      </c>
      <c r="V68" s="179">
        <v>0</v>
      </c>
      <c r="W68" s="179">
        <v>0</v>
      </c>
      <c r="X68" s="179">
        <v>0</v>
      </c>
      <c r="Y68" s="180">
        <v>63242845.399999999</v>
      </c>
      <c r="Z68" s="180">
        <v>-7130195.79</v>
      </c>
      <c r="AA68" s="180">
        <v>2855531.37</v>
      </c>
      <c r="AB68" s="180">
        <v>0</v>
      </c>
      <c r="AC68" s="180">
        <v>0</v>
      </c>
      <c r="AD68" s="180">
        <v>0</v>
      </c>
      <c r="AE68" s="100">
        <v>-6.7591272861989224E-2</v>
      </c>
      <c r="AF68" s="100" t="s">
        <v>756</v>
      </c>
      <c r="AG68" s="100">
        <v>-6.7591272861989224E-2</v>
      </c>
      <c r="AI68" s="6"/>
    </row>
    <row r="69" spans="1:35" x14ac:dyDescent="0.25">
      <c r="A69" s="178" t="s">
        <v>408</v>
      </c>
      <c r="B69" s="101">
        <v>61316</v>
      </c>
      <c r="C69" s="101">
        <v>31</v>
      </c>
      <c r="D69" t="s">
        <v>409</v>
      </c>
      <c r="E69">
        <v>0</v>
      </c>
      <c r="F69" t="s">
        <v>760</v>
      </c>
      <c r="G69" s="179">
        <v>22242312.760000002</v>
      </c>
      <c r="H69" s="179">
        <v>3814953.22</v>
      </c>
      <c r="I69" s="179">
        <v>978830.52</v>
      </c>
      <c r="J69" s="179">
        <v>20089530</v>
      </c>
      <c r="K69" s="179">
        <v>-1762940</v>
      </c>
      <c r="L69" s="179">
        <v>760</v>
      </c>
      <c r="M69" s="179">
        <v>26858243</v>
      </c>
      <c r="N69" s="179">
        <v>-655851</v>
      </c>
      <c r="O69" s="179">
        <v>1090132</v>
      </c>
      <c r="P69" s="179">
        <v>0</v>
      </c>
      <c r="Q69" s="179">
        <v>0</v>
      </c>
      <c r="R69" s="179">
        <v>0</v>
      </c>
      <c r="S69" s="179">
        <v>0</v>
      </c>
      <c r="T69" s="179">
        <v>0</v>
      </c>
      <c r="U69" s="179">
        <v>0</v>
      </c>
      <c r="V69" s="179">
        <v>0</v>
      </c>
      <c r="W69" s="179">
        <v>0</v>
      </c>
      <c r="X69" s="179">
        <v>0</v>
      </c>
      <c r="Y69" s="180">
        <v>69190085.760000005</v>
      </c>
      <c r="Z69" s="180">
        <v>1396162.2200000002</v>
      </c>
      <c r="AA69" s="180">
        <v>2069722.52</v>
      </c>
      <c r="AB69" s="180">
        <v>0</v>
      </c>
      <c r="AC69" s="180">
        <v>0</v>
      </c>
      <c r="AD69" s="180">
        <v>0</v>
      </c>
      <c r="AE69" s="100">
        <v>5.0092216275350952E-2</v>
      </c>
      <c r="AF69" s="100" t="s">
        <v>756</v>
      </c>
      <c r="AG69" s="100">
        <v>5.0092216275350952E-2</v>
      </c>
    </row>
    <row r="70" spans="1:35" x14ac:dyDescent="0.25">
      <c r="A70" s="178" t="s">
        <v>410</v>
      </c>
      <c r="B70" s="101">
        <v>61317</v>
      </c>
      <c r="C70" s="101">
        <v>10</v>
      </c>
      <c r="D70" t="s">
        <v>411</v>
      </c>
      <c r="E70">
        <v>0</v>
      </c>
      <c r="F70" t="s">
        <v>760</v>
      </c>
      <c r="G70" s="179">
        <v>82115142</v>
      </c>
      <c r="H70" s="179">
        <v>-20599114</v>
      </c>
      <c r="I70" s="179">
        <v>10069908</v>
      </c>
      <c r="J70" s="179">
        <v>89533778</v>
      </c>
      <c r="K70" s="179">
        <v>-21683935</v>
      </c>
      <c r="L70" s="179">
        <v>9853598</v>
      </c>
      <c r="M70" s="179">
        <v>94792394</v>
      </c>
      <c r="N70" s="179">
        <v>-20809780</v>
      </c>
      <c r="O70" s="179">
        <v>9930154</v>
      </c>
      <c r="P70" s="179">
        <v>0</v>
      </c>
      <c r="Q70" s="179">
        <v>0</v>
      </c>
      <c r="R70" s="179">
        <v>0</v>
      </c>
      <c r="S70" s="179">
        <v>0</v>
      </c>
      <c r="T70" s="179">
        <v>0</v>
      </c>
      <c r="U70" s="179">
        <v>0</v>
      </c>
      <c r="V70" s="179">
        <v>0</v>
      </c>
      <c r="W70" s="179">
        <v>0</v>
      </c>
      <c r="X70" s="179">
        <v>0</v>
      </c>
      <c r="Y70" s="180">
        <v>266441314</v>
      </c>
      <c r="Z70" s="180">
        <v>-63092829</v>
      </c>
      <c r="AA70" s="180">
        <v>29853660</v>
      </c>
      <c r="AB70" s="180">
        <v>0</v>
      </c>
      <c r="AC70" s="180">
        <v>0</v>
      </c>
      <c r="AD70" s="180">
        <v>0</v>
      </c>
      <c r="AE70" s="100">
        <v>-0.12475230849522083</v>
      </c>
      <c r="AF70" s="100" t="s">
        <v>756</v>
      </c>
      <c r="AG70" s="100">
        <v>-0.12475230849522083</v>
      </c>
    </row>
    <row r="71" spans="1:35" x14ac:dyDescent="0.25">
      <c r="A71" s="183" t="s">
        <v>412</v>
      </c>
      <c r="B71" s="104">
        <v>61318</v>
      </c>
      <c r="C71" s="101">
        <v>16</v>
      </c>
      <c r="D71" t="s">
        <v>413</v>
      </c>
      <c r="E71">
        <v>0</v>
      </c>
      <c r="F71" t="s">
        <v>760</v>
      </c>
      <c r="G71" s="179">
        <v>44406834</v>
      </c>
      <c r="H71" s="179">
        <v>4069623</v>
      </c>
      <c r="I71" s="179">
        <v>1953326</v>
      </c>
      <c r="J71" s="179">
        <v>50299052</v>
      </c>
      <c r="K71" s="179">
        <v>561333</v>
      </c>
      <c r="L71" s="179">
        <v>2143881</v>
      </c>
      <c r="M71" s="179">
        <v>54051033</v>
      </c>
      <c r="N71" s="179">
        <v>2319210</v>
      </c>
      <c r="O71" s="179">
        <v>2378645</v>
      </c>
      <c r="P71" s="179">
        <v>0</v>
      </c>
      <c r="Q71" s="179">
        <v>0</v>
      </c>
      <c r="R71" s="179">
        <v>0</v>
      </c>
      <c r="S71" s="179">
        <v>0</v>
      </c>
      <c r="T71" s="179">
        <v>0</v>
      </c>
      <c r="U71" s="179">
        <v>0</v>
      </c>
      <c r="V71" s="179">
        <v>0</v>
      </c>
      <c r="W71" s="179">
        <v>0</v>
      </c>
      <c r="X71" s="179">
        <v>0</v>
      </c>
      <c r="Y71" s="180">
        <v>148756919</v>
      </c>
      <c r="Z71" s="180">
        <v>6950166</v>
      </c>
      <c r="AA71" s="180">
        <v>6475852</v>
      </c>
      <c r="AB71" s="180">
        <v>0</v>
      </c>
      <c r="AC71" s="180">
        <v>0</v>
      </c>
      <c r="AD71" s="180">
        <v>0</v>
      </c>
      <c r="AE71" s="100">
        <v>9.0254746402753883E-2</v>
      </c>
      <c r="AF71" s="100" t="s">
        <v>756</v>
      </c>
      <c r="AG71" s="100">
        <v>9.0254746402753883E-2</v>
      </c>
      <c r="AI71" s="6"/>
    </row>
    <row r="72" spans="1:35" x14ac:dyDescent="0.25">
      <c r="A72" s="183" t="s">
        <v>414</v>
      </c>
      <c r="B72" s="104">
        <v>61319</v>
      </c>
      <c r="C72" s="101">
        <v>32</v>
      </c>
      <c r="D72" t="s">
        <v>415</v>
      </c>
      <c r="E72">
        <v>0</v>
      </c>
      <c r="F72" t="s">
        <v>760</v>
      </c>
      <c r="G72" s="179">
        <v>0</v>
      </c>
      <c r="H72" s="179">
        <v>0</v>
      </c>
      <c r="I72" s="179">
        <v>0</v>
      </c>
      <c r="J72" s="179">
        <v>0</v>
      </c>
      <c r="K72" s="179">
        <v>0</v>
      </c>
      <c r="L72" s="179">
        <v>0</v>
      </c>
      <c r="M72" s="179">
        <v>13671380</v>
      </c>
      <c r="N72" s="179">
        <v>-9853608</v>
      </c>
      <c r="O72" s="179">
        <v>2999933</v>
      </c>
      <c r="P72" s="179">
        <v>0</v>
      </c>
      <c r="Q72" s="179">
        <v>0</v>
      </c>
      <c r="R72" s="179">
        <v>0</v>
      </c>
      <c r="S72" s="179">
        <v>0</v>
      </c>
      <c r="T72" s="179">
        <v>0</v>
      </c>
      <c r="U72" s="179">
        <v>0</v>
      </c>
      <c r="V72" s="179">
        <v>0</v>
      </c>
      <c r="W72" s="179">
        <v>0</v>
      </c>
      <c r="X72" s="179">
        <v>0</v>
      </c>
      <c r="Y72" s="180">
        <v>13671380</v>
      </c>
      <c r="Z72" s="180">
        <v>-9853608</v>
      </c>
      <c r="AA72" s="180">
        <v>2999933</v>
      </c>
      <c r="AB72" s="180">
        <v>0</v>
      </c>
      <c r="AC72" s="180">
        <v>0</v>
      </c>
      <c r="AD72" s="180">
        <v>0</v>
      </c>
      <c r="AE72" s="100">
        <v>-0.50131552191512485</v>
      </c>
      <c r="AF72" s="100" t="s">
        <v>756</v>
      </c>
      <c r="AG72" s="100">
        <v>-0.50131552191512485</v>
      </c>
      <c r="AH72" s="72" t="s">
        <v>757</v>
      </c>
    </row>
    <row r="73" spans="1:35" x14ac:dyDescent="0.25">
      <c r="A73" s="178" t="s">
        <v>416</v>
      </c>
      <c r="B73" s="101">
        <v>61320</v>
      </c>
      <c r="C73" s="101">
        <v>11</v>
      </c>
      <c r="D73" t="s">
        <v>417</v>
      </c>
      <c r="E73">
        <v>0</v>
      </c>
      <c r="F73" t="s">
        <v>760</v>
      </c>
      <c r="G73" s="179">
        <v>62718016</v>
      </c>
      <c r="H73" s="179">
        <v>5489595</v>
      </c>
      <c r="I73" s="179">
        <v>2086375</v>
      </c>
      <c r="J73" s="179">
        <v>63758138</v>
      </c>
      <c r="K73" s="179">
        <v>2532792</v>
      </c>
      <c r="L73" s="179">
        <v>2734736</v>
      </c>
      <c r="M73" s="179">
        <v>71618087</v>
      </c>
      <c r="N73" s="179">
        <v>288859</v>
      </c>
      <c r="O73" s="179">
        <v>3136547</v>
      </c>
      <c r="P73" s="179">
        <v>0</v>
      </c>
      <c r="Q73" s="179">
        <v>0</v>
      </c>
      <c r="R73" s="179">
        <v>0</v>
      </c>
      <c r="S73" s="179">
        <v>0</v>
      </c>
      <c r="T73" s="179">
        <v>0</v>
      </c>
      <c r="U73" s="179">
        <v>0</v>
      </c>
      <c r="V73" s="179">
        <v>0</v>
      </c>
      <c r="W73" s="179">
        <v>0</v>
      </c>
      <c r="X73" s="179">
        <v>0</v>
      </c>
      <c r="Y73" s="180">
        <v>198094241</v>
      </c>
      <c r="Z73" s="180">
        <v>8311246</v>
      </c>
      <c r="AA73" s="180">
        <v>7957658</v>
      </c>
      <c r="AB73" s="180">
        <v>0</v>
      </c>
      <c r="AC73" s="180">
        <v>0</v>
      </c>
      <c r="AD73" s="180">
        <v>0</v>
      </c>
      <c r="AE73" s="100">
        <v>8.2127092225765419E-2</v>
      </c>
      <c r="AF73" s="100" t="s">
        <v>756</v>
      </c>
      <c r="AG73" s="100">
        <v>8.2127092225765419E-2</v>
      </c>
    </row>
    <row r="74" spans="1:35" x14ac:dyDescent="0.25">
      <c r="A74" s="178" t="s">
        <v>418</v>
      </c>
      <c r="B74" s="101">
        <v>61321</v>
      </c>
      <c r="C74" s="101">
        <v>64</v>
      </c>
      <c r="D74" t="s">
        <v>419</v>
      </c>
      <c r="E74">
        <v>0</v>
      </c>
      <c r="F74" t="s">
        <v>760</v>
      </c>
      <c r="G74" s="179">
        <v>34960504</v>
      </c>
      <c r="H74" s="179">
        <v>-2381738</v>
      </c>
      <c r="I74" s="179">
        <v>2219602</v>
      </c>
      <c r="J74" s="179">
        <v>39615151</v>
      </c>
      <c r="K74" s="179">
        <v>-1939091</v>
      </c>
      <c r="L74" s="179">
        <v>2254090</v>
      </c>
      <c r="M74" s="179">
        <v>42328353</v>
      </c>
      <c r="N74" s="179">
        <v>411038</v>
      </c>
      <c r="O74" s="179">
        <v>2274136</v>
      </c>
      <c r="P74" s="179">
        <v>0</v>
      </c>
      <c r="Q74" s="179">
        <v>0</v>
      </c>
      <c r="R74" s="179">
        <v>0</v>
      </c>
      <c r="S74" s="179">
        <v>0</v>
      </c>
      <c r="T74" s="179">
        <v>0</v>
      </c>
      <c r="U74" s="179">
        <v>0</v>
      </c>
      <c r="V74" s="179">
        <v>0</v>
      </c>
      <c r="W74" s="179">
        <v>0</v>
      </c>
      <c r="X74" s="179">
        <v>0</v>
      </c>
      <c r="Y74" s="180">
        <v>116904008</v>
      </c>
      <c r="Z74" s="180">
        <v>-3909791</v>
      </c>
      <c r="AA74" s="180">
        <v>6747828</v>
      </c>
      <c r="AB74" s="180">
        <v>0</v>
      </c>
      <c r="AC74" s="180">
        <v>0</v>
      </c>
      <c r="AD74" s="180">
        <v>0</v>
      </c>
      <c r="AE74" s="100">
        <v>2.427664413353561E-2</v>
      </c>
      <c r="AF74" s="100" t="s">
        <v>756</v>
      </c>
      <c r="AG74" s="100">
        <v>2.427664413353561E-2</v>
      </c>
    </row>
    <row r="75" spans="1:35" x14ac:dyDescent="0.25">
      <c r="A75" s="178" t="s">
        <v>420</v>
      </c>
      <c r="B75" s="101">
        <v>61322</v>
      </c>
      <c r="C75" s="101">
        <v>13</v>
      </c>
      <c r="D75" t="s">
        <v>421</v>
      </c>
      <c r="E75">
        <v>0</v>
      </c>
      <c r="F75" t="s">
        <v>760</v>
      </c>
      <c r="G75" s="179">
        <v>106133040</v>
      </c>
      <c r="H75" s="179">
        <v>9151266</v>
      </c>
      <c r="I75" s="179">
        <v>5767482</v>
      </c>
      <c r="J75" s="179">
        <v>122807394</v>
      </c>
      <c r="K75" s="179">
        <v>11621664</v>
      </c>
      <c r="L75" s="179">
        <v>6105004</v>
      </c>
      <c r="M75" s="179">
        <v>135268758</v>
      </c>
      <c r="N75" s="179">
        <v>10149237</v>
      </c>
      <c r="O75" s="179">
        <v>6090430</v>
      </c>
      <c r="P75" s="179">
        <v>0</v>
      </c>
      <c r="Q75" s="179">
        <v>0</v>
      </c>
      <c r="R75" s="179">
        <v>0</v>
      </c>
      <c r="S75" s="179">
        <v>0</v>
      </c>
      <c r="T75" s="179">
        <v>0</v>
      </c>
      <c r="U75" s="179">
        <v>0</v>
      </c>
      <c r="V75" s="179">
        <v>0</v>
      </c>
      <c r="W75" s="179">
        <v>0</v>
      </c>
      <c r="X75" s="179">
        <v>0</v>
      </c>
      <c r="Y75" s="180">
        <v>364209192</v>
      </c>
      <c r="Z75" s="180">
        <v>30922167</v>
      </c>
      <c r="AA75" s="180">
        <v>17962916</v>
      </c>
      <c r="AB75" s="180">
        <v>0</v>
      </c>
      <c r="AC75" s="180">
        <v>0</v>
      </c>
      <c r="AD75" s="180">
        <v>0</v>
      </c>
      <c r="AE75" s="100">
        <v>0.13422254043494872</v>
      </c>
      <c r="AF75" s="100" t="s">
        <v>756</v>
      </c>
      <c r="AG75" s="100">
        <v>0.13422254043494872</v>
      </c>
    </row>
    <row r="76" spans="1:35" x14ac:dyDescent="0.25">
      <c r="A76" s="178" t="s">
        <v>422</v>
      </c>
      <c r="B76" s="101">
        <v>61323</v>
      </c>
      <c r="C76" s="101">
        <v>26</v>
      </c>
      <c r="D76" t="s">
        <v>423</v>
      </c>
      <c r="E76">
        <v>0</v>
      </c>
      <c r="F76" t="s">
        <v>760</v>
      </c>
      <c r="G76" s="179">
        <v>33448307.390000001</v>
      </c>
      <c r="H76" s="179">
        <v>482520</v>
      </c>
      <c r="I76" s="179">
        <v>1959917</v>
      </c>
      <c r="J76" s="179">
        <v>37882989</v>
      </c>
      <c r="K76" s="179">
        <v>-577487</v>
      </c>
      <c r="L76" s="179">
        <v>2387374</v>
      </c>
      <c r="M76" s="179">
        <v>44845580</v>
      </c>
      <c r="N76" s="179">
        <v>-1623186</v>
      </c>
      <c r="O76" s="179">
        <v>2463056</v>
      </c>
      <c r="P76" s="179">
        <v>0</v>
      </c>
      <c r="Q76" s="179">
        <v>0</v>
      </c>
      <c r="R76" s="179">
        <v>0</v>
      </c>
      <c r="S76" s="179">
        <v>0</v>
      </c>
      <c r="T76" s="179">
        <v>0</v>
      </c>
      <c r="U76" s="179">
        <v>0</v>
      </c>
      <c r="V76" s="179">
        <v>0</v>
      </c>
      <c r="W76" s="179">
        <v>0</v>
      </c>
      <c r="X76" s="179">
        <v>0</v>
      </c>
      <c r="Y76" s="180">
        <v>116176876.39</v>
      </c>
      <c r="Z76" s="180">
        <v>-1718153</v>
      </c>
      <c r="AA76" s="180">
        <v>6810347</v>
      </c>
      <c r="AB76" s="180">
        <v>0</v>
      </c>
      <c r="AC76" s="180">
        <v>0</v>
      </c>
      <c r="AD76" s="180">
        <v>0</v>
      </c>
      <c r="AE76" s="100">
        <v>4.3831390189091997E-2</v>
      </c>
      <c r="AF76" s="100" t="s">
        <v>756</v>
      </c>
      <c r="AG76" s="100">
        <v>4.3831390189091997E-2</v>
      </c>
    </row>
    <row r="77" spans="1:35" x14ac:dyDescent="0.25">
      <c r="A77" s="178" t="s">
        <v>424</v>
      </c>
      <c r="B77" s="101">
        <v>61324</v>
      </c>
      <c r="C77" s="101">
        <v>5</v>
      </c>
      <c r="D77" t="s">
        <v>425</v>
      </c>
      <c r="E77">
        <v>0</v>
      </c>
      <c r="F77" t="s">
        <v>760</v>
      </c>
      <c r="G77" s="179">
        <v>108399772</v>
      </c>
      <c r="H77" s="179">
        <v>6018447</v>
      </c>
      <c r="I77" s="179">
        <v>12637999</v>
      </c>
      <c r="J77" s="179">
        <v>131611235</v>
      </c>
      <c r="K77" s="179">
        <v>11120200</v>
      </c>
      <c r="L77" s="179">
        <v>14282443</v>
      </c>
      <c r="M77" s="179">
        <v>137739053</v>
      </c>
      <c r="N77" s="179">
        <v>-7710260</v>
      </c>
      <c r="O77" s="179">
        <v>18631159</v>
      </c>
      <c r="P77" s="179">
        <v>0</v>
      </c>
      <c r="Q77" s="179">
        <v>0</v>
      </c>
      <c r="R77" s="179">
        <v>0</v>
      </c>
      <c r="S77" s="179">
        <v>0</v>
      </c>
      <c r="T77" s="179">
        <v>0</v>
      </c>
      <c r="U77" s="179">
        <v>0</v>
      </c>
      <c r="V77" s="179">
        <v>0</v>
      </c>
      <c r="W77" s="179">
        <v>0</v>
      </c>
      <c r="X77" s="179">
        <v>0</v>
      </c>
      <c r="Y77" s="180">
        <v>377750060</v>
      </c>
      <c r="Z77" s="180">
        <v>9428387</v>
      </c>
      <c r="AA77" s="180">
        <v>45551601</v>
      </c>
      <c r="AB77" s="180">
        <v>0</v>
      </c>
      <c r="AC77" s="180">
        <v>0</v>
      </c>
      <c r="AD77" s="180">
        <v>0</v>
      </c>
      <c r="AE77" s="100">
        <v>0.1455459411442582</v>
      </c>
      <c r="AF77" s="100" t="s">
        <v>756</v>
      </c>
      <c r="AG77" s="100">
        <v>0.1455459411442582</v>
      </c>
    </row>
    <row r="78" spans="1:35" x14ac:dyDescent="0.25">
      <c r="A78" s="178" t="s">
        <v>426</v>
      </c>
      <c r="B78" s="101">
        <v>61325</v>
      </c>
      <c r="C78" s="101">
        <v>24</v>
      </c>
      <c r="D78" t="s">
        <v>427</v>
      </c>
      <c r="E78">
        <v>0</v>
      </c>
      <c r="F78" t="s">
        <v>760</v>
      </c>
      <c r="G78" s="179">
        <v>43365429.880000003</v>
      </c>
      <c r="H78" s="179">
        <v>854575.88</v>
      </c>
      <c r="I78" s="179">
        <v>5012830</v>
      </c>
      <c r="J78" s="179">
        <v>47154106.839000002</v>
      </c>
      <c r="K78" s="179">
        <v>627377.83900000155</v>
      </c>
      <c r="L78" s="179">
        <v>5222978</v>
      </c>
      <c r="M78" s="179">
        <v>40567773</v>
      </c>
      <c r="N78" s="179">
        <v>-13237434</v>
      </c>
      <c r="O78" s="179">
        <v>4898248</v>
      </c>
      <c r="P78" s="179">
        <v>0</v>
      </c>
      <c r="Q78" s="179">
        <v>0</v>
      </c>
      <c r="R78" s="179">
        <v>0</v>
      </c>
      <c r="S78" s="179">
        <v>0</v>
      </c>
      <c r="T78" s="179">
        <v>0</v>
      </c>
      <c r="U78" s="179">
        <v>0</v>
      </c>
      <c r="V78" s="179">
        <v>0</v>
      </c>
      <c r="W78" s="179">
        <v>0</v>
      </c>
      <c r="X78" s="179">
        <v>0</v>
      </c>
      <c r="Y78" s="180">
        <v>131087309.71900001</v>
      </c>
      <c r="Z78" s="180">
        <v>-11755480.280999999</v>
      </c>
      <c r="AA78" s="180">
        <v>15134056</v>
      </c>
      <c r="AB78" s="180">
        <v>0</v>
      </c>
      <c r="AC78" s="180">
        <v>0</v>
      </c>
      <c r="AD78" s="180">
        <v>0</v>
      </c>
      <c r="AE78" s="100">
        <v>2.5773476671710992E-2</v>
      </c>
      <c r="AF78" s="100" t="s">
        <v>756</v>
      </c>
      <c r="AG78" s="100">
        <v>2.5773476671710992E-2</v>
      </c>
    </row>
    <row r="79" spans="1:35" x14ac:dyDescent="0.25">
      <c r="A79" s="178" t="s">
        <v>428</v>
      </c>
      <c r="B79" s="101">
        <v>61326</v>
      </c>
      <c r="C79" s="101">
        <v>73</v>
      </c>
      <c r="D79" t="s">
        <v>429</v>
      </c>
      <c r="E79" t="s">
        <v>304</v>
      </c>
      <c r="F79" t="s">
        <v>760</v>
      </c>
      <c r="G79" s="179">
        <v>26081231</v>
      </c>
      <c r="H79" s="179">
        <v>-291389</v>
      </c>
      <c r="I79" s="179">
        <v>2728548</v>
      </c>
      <c r="J79" s="179">
        <v>25403395</v>
      </c>
      <c r="K79" s="179">
        <v>-551910</v>
      </c>
      <c r="L79" s="179">
        <v>2410104</v>
      </c>
      <c r="M79" s="179">
        <v>31214742</v>
      </c>
      <c r="N79" s="179">
        <v>2465937</v>
      </c>
      <c r="O79" s="179">
        <v>2856062</v>
      </c>
      <c r="P79" s="179">
        <v>5838465865.9127998</v>
      </c>
      <c r="Q79" s="179">
        <v>539097448.80279994</v>
      </c>
      <c r="R79" s="179">
        <v>272047729.13999999</v>
      </c>
      <c r="S79" s="179">
        <v>6245148159.3099995</v>
      </c>
      <c r="T79" s="179">
        <v>252995149.78999913</v>
      </c>
      <c r="U79" s="179">
        <v>297779313.77999997</v>
      </c>
      <c r="V79" s="179">
        <v>6731516165</v>
      </c>
      <c r="W79" s="179">
        <v>281360024</v>
      </c>
      <c r="X79" s="179">
        <v>350330059</v>
      </c>
      <c r="Y79" s="180">
        <v>82699368</v>
      </c>
      <c r="Z79" s="180">
        <v>1622638</v>
      </c>
      <c r="AA79" s="180">
        <v>7994714</v>
      </c>
      <c r="AB79" s="180">
        <v>18815130190.222801</v>
      </c>
      <c r="AC79" s="180">
        <v>1073452622.5927991</v>
      </c>
      <c r="AD79" s="180">
        <v>920157101.91999996</v>
      </c>
      <c r="AE79" s="100">
        <v>0.11629293225070354</v>
      </c>
      <c r="AF79" s="100">
        <v>0.1059577958992157</v>
      </c>
      <c r="AG79" s="100">
        <v>0.11629293225070354</v>
      </c>
    </row>
    <row r="80" spans="1:35" x14ac:dyDescent="0.25">
      <c r="A80" s="183" t="s">
        <v>430</v>
      </c>
      <c r="B80" s="104">
        <v>61327</v>
      </c>
      <c r="C80" s="101">
        <v>30</v>
      </c>
      <c r="D80" t="s">
        <v>431</v>
      </c>
      <c r="E80">
        <v>0</v>
      </c>
      <c r="F80" t="s">
        <v>760</v>
      </c>
      <c r="G80" s="179">
        <v>70766669.200000003</v>
      </c>
      <c r="H80" s="179">
        <v>-1145758.8899999999</v>
      </c>
      <c r="I80" s="179">
        <v>4214097.74</v>
      </c>
      <c r="J80" s="179">
        <v>75338054</v>
      </c>
      <c r="K80" s="179">
        <v>-2773258</v>
      </c>
      <c r="L80" s="179">
        <v>4160328</v>
      </c>
      <c r="M80" s="179">
        <v>77389398</v>
      </c>
      <c r="N80" s="179">
        <v>-1659591</v>
      </c>
      <c r="O80" s="179">
        <v>4167988</v>
      </c>
      <c r="P80" s="179">
        <v>0</v>
      </c>
      <c r="Q80" s="179">
        <v>0</v>
      </c>
      <c r="R80" s="179">
        <v>0</v>
      </c>
      <c r="S80" s="179">
        <v>0</v>
      </c>
      <c r="T80" s="179">
        <v>0</v>
      </c>
      <c r="U80" s="179">
        <v>0</v>
      </c>
      <c r="V80" s="179">
        <v>0</v>
      </c>
      <c r="W80" s="179">
        <v>0</v>
      </c>
      <c r="X80" s="179">
        <v>0</v>
      </c>
      <c r="Y80" s="180">
        <v>223494121.19999999</v>
      </c>
      <c r="Z80" s="180">
        <v>-5578607.8899999997</v>
      </c>
      <c r="AA80" s="180">
        <v>12542413.74</v>
      </c>
      <c r="AB80" s="180">
        <v>0</v>
      </c>
      <c r="AC80" s="180">
        <v>0</v>
      </c>
      <c r="AD80" s="180">
        <v>0</v>
      </c>
      <c r="AE80" s="100">
        <v>3.1158787589621848E-2</v>
      </c>
      <c r="AF80" s="100" t="s">
        <v>756</v>
      </c>
      <c r="AG80" s="100">
        <v>3.1158787589621848E-2</v>
      </c>
    </row>
    <row r="81" spans="1:33" x14ac:dyDescent="0.25">
      <c r="A81" s="178" t="s">
        <v>432</v>
      </c>
      <c r="B81" s="101">
        <v>61328</v>
      </c>
      <c r="C81" s="101">
        <v>23</v>
      </c>
      <c r="D81" t="s">
        <v>433</v>
      </c>
      <c r="E81">
        <v>0</v>
      </c>
      <c r="F81" t="s">
        <v>760</v>
      </c>
      <c r="G81" s="179">
        <v>47960638.359999999</v>
      </c>
      <c r="H81" s="179">
        <v>8757564.3599999994</v>
      </c>
      <c r="I81" s="179">
        <v>1802311</v>
      </c>
      <c r="J81" s="179">
        <v>37759627</v>
      </c>
      <c r="K81" s="179">
        <v>-3540124</v>
      </c>
      <c r="L81" s="179">
        <v>2037966</v>
      </c>
      <c r="M81" s="179">
        <v>41689780</v>
      </c>
      <c r="N81" s="179">
        <v>-1499402</v>
      </c>
      <c r="O81" s="179">
        <v>2575260</v>
      </c>
      <c r="P81" s="179">
        <v>0</v>
      </c>
      <c r="Q81" s="179">
        <v>0</v>
      </c>
      <c r="R81" s="179">
        <v>0</v>
      </c>
      <c r="S81" s="179">
        <v>0</v>
      </c>
      <c r="T81" s="179">
        <v>0</v>
      </c>
      <c r="U81" s="179">
        <v>0</v>
      </c>
      <c r="V81" s="179">
        <v>0</v>
      </c>
      <c r="W81" s="179">
        <v>0</v>
      </c>
      <c r="X81" s="179">
        <v>0</v>
      </c>
      <c r="Y81" s="180">
        <v>127410045.36</v>
      </c>
      <c r="Z81" s="180">
        <v>3718038.3599999994</v>
      </c>
      <c r="AA81" s="180">
        <v>6415537</v>
      </c>
      <c r="AB81" s="180">
        <v>0</v>
      </c>
      <c r="AC81" s="180">
        <v>0</v>
      </c>
      <c r="AD81" s="180">
        <v>0</v>
      </c>
      <c r="AE81" s="100">
        <v>7.9535136584932137E-2</v>
      </c>
      <c r="AF81" s="100" t="s">
        <v>756</v>
      </c>
      <c r="AG81" s="100">
        <v>7.9535136584932137E-2</v>
      </c>
    </row>
    <row r="82" spans="1:33" x14ac:dyDescent="0.25">
      <c r="A82" s="178" t="s">
        <v>434</v>
      </c>
      <c r="B82" s="101">
        <v>61336</v>
      </c>
      <c r="C82" s="101">
        <v>4</v>
      </c>
      <c r="D82" t="s">
        <v>435</v>
      </c>
      <c r="E82">
        <v>0</v>
      </c>
      <c r="F82" t="s">
        <v>760</v>
      </c>
      <c r="G82" s="179">
        <v>28724384</v>
      </c>
      <c r="H82" s="179">
        <v>-4738509</v>
      </c>
      <c r="I82" s="179">
        <v>2055707</v>
      </c>
      <c r="J82" s="179">
        <v>37326950</v>
      </c>
      <c r="K82" s="179">
        <v>-1658031</v>
      </c>
      <c r="L82" s="179">
        <v>1606143</v>
      </c>
      <c r="M82" s="179">
        <v>36817306</v>
      </c>
      <c r="N82" s="179">
        <v>-4128408</v>
      </c>
      <c r="O82" s="179">
        <v>1384743</v>
      </c>
      <c r="P82" s="179">
        <v>0</v>
      </c>
      <c r="Q82" s="179">
        <v>0</v>
      </c>
      <c r="R82" s="179">
        <v>0</v>
      </c>
      <c r="S82" s="179">
        <v>0</v>
      </c>
      <c r="T82" s="179">
        <v>0</v>
      </c>
      <c r="U82" s="179">
        <v>0</v>
      </c>
      <c r="V82" s="179">
        <v>0</v>
      </c>
      <c r="W82" s="179">
        <v>0</v>
      </c>
      <c r="X82" s="179">
        <v>0</v>
      </c>
      <c r="Y82" s="180">
        <v>102868640</v>
      </c>
      <c r="Z82" s="180">
        <v>-10524948</v>
      </c>
      <c r="AA82" s="180">
        <v>5046593</v>
      </c>
      <c r="AB82" s="180">
        <v>0</v>
      </c>
      <c r="AC82" s="180">
        <v>0</v>
      </c>
      <c r="AD82" s="180">
        <v>0</v>
      </c>
      <c r="AE82" s="100">
        <v>-5.3255831903678323E-2</v>
      </c>
      <c r="AF82" s="100" t="s">
        <v>756</v>
      </c>
      <c r="AG82" s="100">
        <v>-5.3255831903678323E-2</v>
      </c>
    </row>
    <row r="83" spans="1:33" x14ac:dyDescent="0.25">
      <c r="A83" s="178" t="s">
        <v>436</v>
      </c>
      <c r="B83" s="101">
        <v>61343</v>
      </c>
      <c r="C83" s="101">
        <v>14</v>
      </c>
      <c r="D83" t="s">
        <v>437</v>
      </c>
      <c r="E83">
        <v>0</v>
      </c>
      <c r="F83" t="s">
        <v>760</v>
      </c>
      <c r="G83" s="179">
        <v>7634978.21</v>
      </c>
      <c r="H83" s="179">
        <v>-1469210.79</v>
      </c>
      <c r="I83" s="179">
        <v>566631</v>
      </c>
      <c r="J83" s="179">
        <v>8330469</v>
      </c>
      <c r="K83" s="179">
        <v>-3566770</v>
      </c>
      <c r="L83" s="179">
        <v>700063</v>
      </c>
      <c r="M83" s="179">
        <v>9922095</v>
      </c>
      <c r="N83" s="179">
        <v>-3686477</v>
      </c>
      <c r="O83" s="179">
        <v>887317</v>
      </c>
      <c r="P83" s="179">
        <v>0</v>
      </c>
      <c r="Q83" s="179">
        <v>0</v>
      </c>
      <c r="R83" s="179">
        <v>0</v>
      </c>
      <c r="S83" s="179">
        <v>0</v>
      </c>
      <c r="T83" s="179">
        <v>0</v>
      </c>
      <c r="U83" s="179">
        <v>0</v>
      </c>
      <c r="V83" s="179">
        <v>0</v>
      </c>
      <c r="W83" s="179">
        <v>0</v>
      </c>
      <c r="X83" s="179">
        <v>0</v>
      </c>
      <c r="Y83" s="180">
        <v>25887542.210000001</v>
      </c>
      <c r="Z83" s="180">
        <v>-8722457.7899999991</v>
      </c>
      <c r="AA83" s="180">
        <v>2154011</v>
      </c>
      <c r="AB83" s="180">
        <v>0</v>
      </c>
      <c r="AC83" s="180">
        <v>0</v>
      </c>
      <c r="AD83" s="180">
        <v>0</v>
      </c>
      <c r="AE83" s="100">
        <v>-0.25373002723536647</v>
      </c>
      <c r="AF83" s="100" t="s">
        <v>756</v>
      </c>
      <c r="AG83" s="100">
        <v>-0.25373002723536647</v>
      </c>
    </row>
    <row r="84" spans="1:33" x14ac:dyDescent="0.25">
      <c r="A84" s="184" t="s">
        <v>438</v>
      </c>
      <c r="B84" s="141">
        <v>61344</v>
      </c>
      <c r="C84" s="101">
        <v>41</v>
      </c>
      <c r="D84" t="s">
        <v>439</v>
      </c>
      <c r="E84" t="s">
        <v>292</v>
      </c>
      <c r="F84" t="s">
        <v>760</v>
      </c>
      <c r="G84" s="179">
        <v>97318919.209999993</v>
      </c>
      <c r="H84" s="179">
        <v>22865393.050000001</v>
      </c>
      <c r="I84" s="179">
        <v>3206471.09</v>
      </c>
      <c r="J84" s="179">
        <v>102166207</v>
      </c>
      <c r="K84" s="179">
        <v>24457745</v>
      </c>
      <c r="L84" s="179">
        <v>3506061</v>
      </c>
      <c r="M84" s="179">
        <v>101442447</v>
      </c>
      <c r="N84" s="179">
        <v>25345945</v>
      </c>
      <c r="O84" s="179">
        <v>3334628</v>
      </c>
      <c r="P84" s="179">
        <v>2561469913.9053001</v>
      </c>
      <c r="Q84" s="179">
        <v>376557681.68529999</v>
      </c>
      <c r="R84" s="179">
        <v>133102210.90000001</v>
      </c>
      <c r="S84" s="179">
        <v>2704321897</v>
      </c>
      <c r="T84" s="179">
        <v>305599897</v>
      </c>
      <c r="U84" s="179">
        <v>127768694</v>
      </c>
      <c r="V84" s="179">
        <v>2734144193</v>
      </c>
      <c r="W84" s="179">
        <v>246525141</v>
      </c>
      <c r="X84" s="179">
        <v>134335700</v>
      </c>
      <c r="Y84" s="180">
        <v>300927573.20999998</v>
      </c>
      <c r="Z84" s="180">
        <v>72669083.049999997</v>
      </c>
      <c r="AA84" s="180">
        <v>10047160.09</v>
      </c>
      <c r="AB84" s="180">
        <v>7999936003.9053001</v>
      </c>
      <c r="AC84" s="180">
        <v>928682719.68529999</v>
      </c>
      <c r="AD84" s="180">
        <v>395206604.89999998</v>
      </c>
      <c r="AE84" s="100">
        <v>0.27487093408445196</v>
      </c>
      <c r="AF84" s="100">
        <v>0.16548748939229285</v>
      </c>
      <c r="AG84" s="100">
        <v>0.27487093408445196</v>
      </c>
    </row>
    <row r="85" spans="1:33" x14ac:dyDescent="0.25">
      <c r="A85" s="178" t="s">
        <v>165</v>
      </c>
      <c r="B85" s="101">
        <v>63301</v>
      </c>
      <c r="C85" s="101">
        <v>42</v>
      </c>
      <c r="D85" t="s">
        <v>220</v>
      </c>
      <c r="E85" t="s">
        <v>221</v>
      </c>
      <c r="F85" t="s">
        <v>761</v>
      </c>
      <c r="G85" s="179">
        <v>1386444354.2320001</v>
      </c>
      <c r="H85" s="179">
        <v>86295513.593999997</v>
      </c>
      <c r="I85" s="179">
        <v>74894244.923999995</v>
      </c>
      <c r="J85" s="179">
        <v>1586843428</v>
      </c>
      <c r="K85" s="179">
        <v>106519859</v>
      </c>
      <c r="L85" s="179">
        <v>74938233</v>
      </c>
      <c r="M85" s="179">
        <v>1655002542</v>
      </c>
      <c r="N85" s="179">
        <v>33883214</v>
      </c>
      <c r="O85" s="179">
        <v>76195752</v>
      </c>
      <c r="P85" s="179">
        <v>1579057811.1720002</v>
      </c>
      <c r="Q85" s="179">
        <v>96133377.548999995</v>
      </c>
      <c r="R85" s="179">
        <v>85755157.311999992</v>
      </c>
      <c r="S85" s="179">
        <v>1809756244</v>
      </c>
      <c r="T85" s="179">
        <v>87378072</v>
      </c>
      <c r="U85" s="179">
        <v>85929641</v>
      </c>
      <c r="V85" s="179">
        <v>1903153023</v>
      </c>
      <c r="W85" s="179">
        <v>5838806</v>
      </c>
      <c r="X85" s="179">
        <v>88275517</v>
      </c>
      <c r="Y85" s="180">
        <v>4628290324.2320004</v>
      </c>
      <c r="Z85" s="180">
        <v>226698586.59399998</v>
      </c>
      <c r="AA85" s="180">
        <v>226028229.92399999</v>
      </c>
      <c r="AB85" s="180">
        <v>5291967078.1719999</v>
      </c>
      <c r="AC85" s="180">
        <v>189350255.54899999</v>
      </c>
      <c r="AD85" s="180">
        <v>259960315.31199998</v>
      </c>
      <c r="AE85" s="100">
        <v>9.7817289928354631E-2</v>
      </c>
      <c r="AF85" s="100">
        <v>8.490426418453928E-2</v>
      </c>
      <c r="AG85" s="100">
        <v>9.7817289928354631E-2</v>
      </c>
    </row>
    <row r="86" spans="1:33" x14ac:dyDescent="0.25">
      <c r="A86" s="174" t="s">
        <v>440</v>
      </c>
      <c r="B86" s="61">
        <v>63303</v>
      </c>
      <c r="C86" s="101">
        <v>111</v>
      </c>
      <c r="D86" t="s">
        <v>441</v>
      </c>
      <c r="E86" t="s">
        <v>221</v>
      </c>
      <c r="F86" t="s">
        <v>761</v>
      </c>
      <c r="G86" s="179">
        <v>192613456.94</v>
      </c>
      <c r="H86" s="179">
        <v>9837863.9550000001</v>
      </c>
      <c r="I86" s="179">
        <v>10860912.388</v>
      </c>
      <c r="J86" s="179">
        <v>222912816</v>
      </c>
      <c r="K86" s="179">
        <v>-19141787</v>
      </c>
      <c r="L86" s="179">
        <v>10991408</v>
      </c>
      <c r="M86" s="179">
        <v>248150481</v>
      </c>
      <c r="N86" s="179">
        <v>-28044408</v>
      </c>
      <c r="O86" s="179">
        <v>12079765</v>
      </c>
      <c r="P86" s="179">
        <v>1579057811.1720002</v>
      </c>
      <c r="Q86" s="179">
        <v>96133377.548999995</v>
      </c>
      <c r="R86" s="179">
        <v>85755157.311999992</v>
      </c>
      <c r="S86" s="179">
        <v>1809756244</v>
      </c>
      <c r="T86" s="179">
        <v>87378072</v>
      </c>
      <c r="U86" s="179">
        <v>85929641</v>
      </c>
      <c r="V86" s="179">
        <v>1903153023</v>
      </c>
      <c r="W86" s="179">
        <v>5838806</v>
      </c>
      <c r="X86" s="179">
        <v>88275517</v>
      </c>
      <c r="Y86" s="180">
        <v>663676753.94000006</v>
      </c>
      <c r="Z86" s="180">
        <v>-37348331.045000002</v>
      </c>
      <c r="AA86" s="180">
        <v>33932085.387999997</v>
      </c>
      <c r="AB86" s="180">
        <v>5291967078.1719999</v>
      </c>
      <c r="AC86" s="180">
        <v>189350255.54899999</v>
      </c>
      <c r="AD86" s="180">
        <v>259960315.31199998</v>
      </c>
      <c r="AE86" s="100">
        <v>-5.1474541434802946E-3</v>
      </c>
      <c r="AF86" s="100">
        <v>8.490426418453928E-2</v>
      </c>
      <c r="AG86" s="100">
        <v>8.490426418453928E-2</v>
      </c>
    </row>
    <row r="88" spans="1:33" x14ac:dyDescent="0.25">
      <c r="G88" s="500"/>
      <c r="H88" s="500"/>
      <c r="I88" s="500"/>
      <c r="J88" s="500"/>
      <c r="K88" s="500"/>
      <c r="L88" s="500"/>
      <c r="M88" s="500"/>
      <c r="N88" s="500"/>
      <c r="O88" s="500"/>
    </row>
  </sheetData>
  <conditionalFormatting sqref="C2:C86">
    <cfRule type="duplicateValues" dxfId="0" priority="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BEFA-1E53-4C11-9EC8-90A2EEE9CDFE}">
  <sheetPr>
    <tabColor theme="8" tint="0.59999389629810485"/>
  </sheetPr>
  <dimension ref="A1:R89"/>
  <sheetViews>
    <sheetView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1" width="13" style="61" customWidth="1"/>
    <col min="2" max="2" width="17.28515625" customWidth="1"/>
    <col min="3" max="3" width="35.42578125" customWidth="1"/>
    <col min="4" max="4" width="43.140625" bestFit="1" customWidth="1"/>
    <col min="5" max="8" width="13.28515625" style="61" customWidth="1"/>
    <col min="9" max="9" width="10" style="61" customWidth="1"/>
    <col min="10" max="10" width="18.28515625" style="61" customWidth="1"/>
    <col min="11" max="11" width="16.140625" customWidth="1"/>
    <col min="17" max="17" width="25.7109375" customWidth="1"/>
  </cols>
  <sheetData>
    <row r="1" spans="1:18" x14ac:dyDescent="0.25">
      <c r="E1" s="494" t="s">
        <v>762</v>
      </c>
      <c r="F1" s="495"/>
      <c r="G1" s="496"/>
      <c r="H1" s="496"/>
      <c r="I1" s="496"/>
      <c r="J1" s="496"/>
      <c r="K1" s="496"/>
    </row>
    <row r="2" spans="1:18" x14ac:dyDescent="0.25">
      <c r="E2" s="396"/>
      <c r="F2" s="497"/>
      <c r="G2" s="397" t="s">
        <v>763</v>
      </c>
      <c r="H2" s="397"/>
      <c r="I2" s="397"/>
      <c r="J2" s="397"/>
      <c r="K2" s="398"/>
    </row>
    <row r="3" spans="1:18" s="75" customFormat="1" ht="30" x14ac:dyDescent="0.25">
      <c r="A3" s="399" t="s">
        <v>764</v>
      </c>
      <c r="B3" s="148" t="s">
        <v>765</v>
      </c>
      <c r="C3" s="243" t="s">
        <v>202</v>
      </c>
      <c r="D3" s="244" t="s">
        <v>766</v>
      </c>
      <c r="E3" s="394">
        <v>2020</v>
      </c>
      <c r="F3" s="394">
        <v>2021</v>
      </c>
      <c r="G3" s="394">
        <v>2022</v>
      </c>
      <c r="H3" s="394">
        <v>2023</v>
      </c>
      <c r="I3" s="394">
        <v>2024</v>
      </c>
      <c r="J3" s="395" t="s">
        <v>767</v>
      </c>
      <c r="K3" s="394" t="s">
        <v>768</v>
      </c>
    </row>
    <row r="4" spans="1:18" x14ac:dyDescent="0.25">
      <c r="A4" s="61" t="s">
        <v>140</v>
      </c>
      <c r="B4" s="61">
        <v>60001</v>
      </c>
      <c r="C4" t="s">
        <v>289</v>
      </c>
      <c r="D4" t="s">
        <v>288</v>
      </c>
      <c r="E4" s="171">
        <v>8612</v>
      </c>
      <c r="F4" s="171">
        <v>8321</v>
      </c>
      <c r="G4" s="171">
        <v>8039</v>
      </c>
      <c r="H4" s="171">
        <v>8204</v>
      </c>
      <c r="J4" s="103" t="str">
        <f>IF(I4=0,"2021-2023","2022-2024")</f>
        <v>2021-2023</v>
      </c>
      <c r="K4" s="171">
        <f>IF(I4=0,AVERAGE(F4:H4),AVERAGE(G4:I4))</f>
        <v>8188</v>
      </c>
    </row>
    <row r="5" spans="1:18" ht="15" customHeight="1" x14ac:dyDescent="0.25">
      <c r="A5" s="61" t="s">
        <v>290</v>
      </c>
      <c r="B5" s="61">
        <v>60003</v>
      </c>
      <c r="C5" t="s">
        <v>292</v>
      </c>
      <c r="D5" t="s">
        <v>291</v>
      </c>
      <c r="E5" s="171">
        <v>3661</v>
      </c>
      <c r="F5" s="171">
        <v>3630</v>
      </c>
      <c r="G5" s="171">
        <v>2792</v>
      </c>
      <c r="H5" s="171">
        <v>2345</v>
      </c>
      <c r="I5" s="171"/>
      <c r="J5" s="103" t="str">
        <f t="shared" ref="J5:J68" si="0">IF(I5=0,"2021-2023","2022-2024")</f>
        <v>2021-2023</v>
      </c>
      <c r="K5" s="171">
        <f t="shared" ref="K5:K53" si="1">IF(I5=0,AVERAGE(F5:H5),AVERAGE(G5:I5))</f>
        <v>2922.3333333333335</v>
      </c>
    </row>
    <row r="6" spans="1:18" x14ac:dyDescent="0.25">
      <c r="A6" s="61" t="s">
        <v>293</v>
      </c>
      <c r="B6" s="61">
        <v>60004</v>
      </c>
      <c r="C6" t="s">
        <v>295</v>
      </c>
      <c r="D6" t="s">
        <v>294</v>
      </c>
      <c r="E6" s="171">
        <v>2954</v>
      </c>
      <c r="F6" s="171">
        <v>3164</v>
      </c>
      <c r="G6" s="171">
        <v>3455</v>
      </c>
      <c r="H6" s="171">
        <v>3562</v>
      </c>
      <c r="I6" s="171"/>
      <c r="J6" s="103" t="str">
        <f t="shared" si="0"/>
        <v>2021-2023</v>
      </c>
      <c r="K6" s="171">
        <f t="shared" si="1"/>
        <v>3393.6666666666665</v>
      </c>
      <c r="M6" s="175"/>
      <c r="N6" s="175"/>
      <c r="O6" s="175"/>
      <c r="P6" s="175"/>
      <c r="Q6" s="176"/>
      <c r="R6" s="177"/>
    </row>
    <row r="7" spans="1:18" x14ac:dyDescent="0.25">
      <c r="A7" s="61" t="s">
        <v>296</v>
      </c>
      <c r="B7" s="61">
        <v>60006</v>
      </c>
      <c r="C7" t="s">
        <v>240</v>
      </c>
      <c r="D7" t="s">
        <v>297</v>
      </c>
      <c r="E7" s="171">
        <v>2419</v>
      </c>
      <c r="F7" s="171">
        <v>2467</v>
      </c>
      <c r="G7" s="171">
        <v>2330</v>
      </c>
      <c r="H7" s="171">
        <v>2404</v>
      </c>
      <c r="I7" s="171"/>
      <c r="J7" s="103" t="str">
        <f t="shared" si="0"/>
        <v>2021-2023</v>
      </c>
      <c r="K7" s="171">
        <f t="shared" si="1"/>
        <v>2400.3333333333335</v>
      </c>
      <c r="L7" s="186">
        <f>AVERAGE(F7:H7)</f>
        <v>2400.3333333333335</v>
      </c>
      <c r="M7" s="6" t="s">
        <v>769</v>
      </c>
      <c r="N7" s="6"/>
    </row>
    <row r="8" spans="1:18" x14ac:dyDescent="0.25">
      <c r="A8" s="61" t="s">
        <v>298</v>
      </c>
      <c r="B8" s="61">
        <v>60008</v>
      </c>
      <c r="C8" t="s">
        <v>300</v>
      </c>
      <c r="D8" t="s">
        <v>299</v>
      </c>
      <c r="E8" s="171">
        <v>1828</v>
      </c>
      <c r="F8" s="171">
        <v>2146</v>
      </c>
      <c r="G8" s="171">
        <v>2044</v>
      </c>
      <c r="H8" s="171">
        <v>1953</v>
      </c>
      <c r="I8" s="171"/>
      <c r="J8" s="103" t="str">
        <f t="shared" si="0"/>
        <v>2021-2023</v>
      </c>
      <c r="K8" s="171">
        <f t="shared" si="1"/>
        <v>2047.6666666666667</v>
      </c>
      <c r="N8" s="6"/>
    </row>
    <row r="9" spans="1:18" x14ac:dyDescent="0.25">
      <c r="A9" s="61" t="s">
        <v>301</v>
      </c>
      <c r="B9" s="61">
        <v>60009</v>
      </c>
      <c r="C9" t="s">
        <v>295</v>
      </c>
      <c r="D9" t="s">
        <v>302</v>
      </c>
      <c r="E9" s="171">
        <v>13519</v>
      </c>
      <c r="F9" s="171">
        <v>15397</v>
      </c>
      <c r="G9" s="171">
        <v>15533</v>
      </c>
      <c r="H9" s="171">
        <v>16539</v>
      </c>
      <c r="I9" s="171"/>
      <c r="J9" s="103" t="str">
        <f t="shared" si="0"/>
        <v>2021-2023</v>
      </c>
      <c r="K9" s="171">
        <f t="shared" si="1"/>
        <v>15823</v>
      </c>
    </row>
    <row r="10" spans="1:18" x14ac:dyDescent="0.25">
      <c r="A10" s="61" t="s">
        <v>142</v>
      </c>
      <c r="B10" s="61">
        <v>60010</v>
      </c>
      <c r="C10" t="s">
        <v>304</v>
      </c>
      <c r="D10" t="s">
        <v>303</v>
      </c>
      <c r="E10" s="171">
        <v>13380</v>
      </c>
      <c r="F10" s="171">
        <v>12343</v>
      </c>
      <c r="G10" s="171">
        <v>12339</v>
      </c>
      <c r="H10" s="171">
        <v>12845</v>
      </c>
      <c r="I10" s="171"/>
      <c r="J10" s="103" t="str">
        <f t="shared" si="0"/>
        <v>2021-2023</v>
      </c>
      <c r="K10" s="171">
        <f t="shared" si="1"/>
        <v>12509</v>
      </c>
    </row>
    <row r="11" spans="1:18" x14ac:dyDescent="0.25">
      <c r="A11" s="61" t="s">
        <v>143</v>
      </c>
      <c r="B11" s="61">
        <v>60011</v>
      </c>
      <c r="C11" t="s">
        <v>240</v>
      </c>
      <c r="D11" t="s">
        <v>305</v>
      </c>
      <c r="E11" s="171"/>
      <c r="F11" s="171">
        <v>19854</v>
      </c>
      <c r="G11" s="171">
        <v>19728</v>
      </c>
      <c r="H11" s="171">
        <v>20637</v>
      </c>
      <c r="I11" s="171"/>
      <c r="J11" s="103" t="str">
        <f t="shared" si="0"/>
        <v>2021-2023</v>
      </c>
      <c r="K11" s="171">
        <f t="shared" si="1"/>
        <v>20073</v>
      </c>
    </row>
    <row r="12" spans="1:18" x14ac:dyDescent="0.25">
      <c r="A12" s="61" t="s">
        <v>144</v>
      </c>
      <c r="B12" s="61">
        <v>60012</v>
      </c>
      <c r="C12" t="s">
        <v>292</v>
      </c>
      <c r="D12" t="s">
        <v>306</v>
      </c>
      <c r="E12" s="171">
        <v>1727</v>
      </c>
      <c r="F12" s="171">
        <v>1587</v>
      </c>
      <c r="G12" s="171">
        <v>1763</v>
      </c>
      <c r="H12" s="171">
        <v>1698</v>
      </c>
      <c r="I12" s="171"/>
      <c r="J12" s="103" t="str">
        <f t="shared" si="0"/>
        <v>2021-2023</v>
      </c>
      <c r="K12" s="171">
        <f t="shared" si="1"/>
        <v>1682.6666666666667</v>
      </c>
    </row>
    <row r="13" spans="1:18" x14ac:dyDescent="0.25">
      <c r="A13" s="61" t="s">
        <v>307</v>
      </c>
      <c r="B13" s="61">
        <v>60013</v>
      </c>
      <c r="C13" t="s">
        <v>292</v>
      </c>
      <c r="D13" t="s">
        <v>308</v>
      </c>
      <c r="E13" s="171">
        <v>4209</v>
      </c>
      <c r="F13" s="171">
        <v>4311</v>
      </c>
      <c r="G13" s="171">
        <v>4317</v>
      </c>
      <c r="H13" s="171">
        <v>4643</v>
      </c>
      <c r="I13" s="171"/>
      <c r="J13" s="103" t="str">
        <f t="shared" si="0"/>
        <v>2021-2023</v>
      </c>
      <c r="K13" s="171">
        <f t="shared" si="1"/>
        <v>4423.666666666667</v>
      </c>
      <c r="N13" s="498"/>
    </row>
    <row r="14" spans="1:18" x14ac:dyDescent="0.25">
      <c r="A14" s="61" t="s">
        <v>145</v>
      </c>
      <c r="B14" s="61">
        <v>60014</v>
      </c>
      <c r="C14" t="s">
        <v>310</v>
      </c>
      <c r="D14" t="s">
        <v>309</v>
      </c>
      <c r="E14" s="171">
        <v>9779</v>
      </c>
      <c r="F14" s="171">
        <v>9616</v>
      </c>
      <c r="G14" s="171">
        <v>9665</v>
      </c>
      <c r="H14" s="171">
        <v>9496</v>
      </c>
      <c r="I14" s="171"/>
      <c r="J14" s="103" t="str">
        <f t="shared" si="0"/>
        <v>2021-2023</v>
      </c>
      <c r="K14" s="171">
        <f t="shared" si="1"/>
        <v>9592.3333333333339</v>
      </c>
      <c r="N14" s="498"/>
    </row>
    <row r="15" spans="1:18" x14ac:dyDescent="0.25">
      <c r="A15" s="61" t="s">
        <v>146</v>
      </c>
      <c r="B15" s="61">
        <v>60015</v>
      </c>
      <c r="C15" t="s">
        <v>292</v>
      </c>
      <c r="D15" t="s">
        <v>311</v>
      </c>
      <c r="E15" s="171">
        <v>11592</v>
      </c>
      <c r="F15" s="171">
        <v>12762</v>
      </c>
      <c r="G15" s="171">
        <v>12598</v>
      </c>
      <c r="H15" s="171">
        <v>13028</v>
      </c>
      <c r="I15" s="171"/>
      <c r="J15" s="103" t="str">
        <f t="shared" si="0"/>
        <v>2021-2023</v>
      </c>
      <c r="K15" s="171">
        <f t="shared" si="1"/>
        <v>12796</v>
      </c>
      <c r="N15" s="498"/>
    </row>
    <row r="16" spans="1:18" s="6" customFormat="1" x14ac:dyDescent="0.25">
      <c r="A16" s="103" t="s">
        <v>147</v>
      </c>
      <c r="B16" s="103">
        <v>60020</v>
      </c>
      <c r="C16" s="6" t="s">
        <v>304</v>
      </c>
      <c r="D16" s="6" t="s">
        <v>312</v>
      </c>
      <c r="E16" s="186">
        <v>17879</v>
      </c>
      <c r="F16" s="186">
        <v>17834</v>
      </c>
      <c r="G16" s="186">
        <v>16076</v>
      </c>
      <c r="H16" s="186">
        <v>15234</v>
      </c>
      <c r="I16" s="186"/>
      <c r="J16" s="103" t="str">
        <f t="shared" si="0"/>
        <v>2021-2023</v>
      </c>
      <c r="K16" s="171">
        <f t="shared" si="1"/>
        <v>16381.333333333334</v>
      </c>
      <c r="M16" s="62"/>
    </row>
    <row r="17" spans="1:12" x14ac:dyDescent="0.25">
      <c r="A17" s="61" t="s">
        <v>148</v>
      </c>
      <c r="B17" s="61">
        <v>60022</v>
      </c>
      <c r="C17" t="s">
        <v>304</v>
      </c>
      <c r="D17" t="s">
        <v>313</v>
      </c>
      <c r="E17" s="171">
        <v>23417</v>
      </c>
      <c r="F17" s="171">
        <v>24917</v>
      </c>
      <c r="G17" s="171">
        <v>26194</v>
      </c>
      <c r="H17" s="171">
        <v>28530</v>
      </c>
      <c r="I17" s="171"/>
      <c r="J17" s="103" t="str">
        <f t="shared" si="0"/>
        <v>2021-2023</v>
      </c>
      <c r="K17" s="171">
        <f t="shared" si="1"/>
        <v>26547</v>
      </c>
    </row>
    <row r="18" spans="1:12" x14ac:dyDescent="0.25">
      <c r="A18" s="61" t="s">
        <v>149</v>
      </c>
      <c r="B18" s="61">
        <v>60023</v>
      </c>
      <c r="C18" t="s">
        <v>295</v>
      </c>
      <c r="D18" t="s">
        <v>314</v>
      </c>
      <c r="E18" s="171">
        <v>11119</v>
      </c>
      <c r="F18" s="171">
        <v>11591</v>
      </c>
      <c r="G18" s="171">
        <v>11687</v>
      </c>
      <c r="H18" s="171">
        <v>12043</v>
      </c>
      <c r="I18" s="171"/>
      <c r="J18" s="103" t="str">
        <f t="shared" si="0"/>
        <v>2021-2023</v>
      </c>
      <c r="K18" s="171">
        <f t="shared" si="1"/>
        <v>11773.666666666666</v>
      </c>
    </row>
    <row r="19" spans="1:12" x14ac:dyDescent="0.25">
      <c r="A19" s="61" t="s">
        <v>150</v>
      </c>
      <c r="B19" s="61">
        <v>60024</v>
      </c>
      <c r="C19" t="s">
        <v>304</v>
      </c>
      <c r="D19" t="s">
        <v>315</v>
      </c>
      <c r="E19" s="171">
        <v>31261</v>
      </c>
      <c r="F19" s="171">
        <v>31652</v>
      </c>
      <c r="G19" s="171">
        <v>32069</v>
      </c>
      <c r="H19" s="171">
        <v>33683</v>
      </c>
      <c r="I19" s="171"/>
      <c r="J19" s="103" t="str">
        <f t="shared" si="0"/>
        <v>2021-2023</v>
      </c>
      <c r="K19" s="171">
        <f t="shared" si="1"/>
        <v>32468</v>
      </c>
    </row>
    <row r="20" spans="1:12" x14ac:dyDescent="0.25">
      <c r="A20" s="61" t="s">
        <v>316</v>
      </c>
      <c r="B20" s="61">
        <v>60027</v>
      </c>
      <c r="C20" t="s">
        <v>240</v>
      </c>
      <c r="D20" t="s">
        <v>317</v>
      </c>
      <c r="E20" s="171">
        <v>7644</v>
      </c>
      <c r="F20" s="171">
        <v>9134</v>
      </c>
      <c r="G20" s="171">
        <v>8903</v>
      </c>
      <c r="H20" s="171">
        <v>10431</v>
      </c>
      <c r="I20" s="171"/>
      <c r="J20" s="103" t="str">
        <f t="shared" si="0"/>
        <v>2021-2023</v>
      </c>
      <c r="K20" s="171">
        <f t="shared" si="1"/>
        <v>9489.3333333333339</v>
      </c>
    </row>
    <row r="21" spans="1:12" x14ac:dyDescent="0.25">
      <c r="A21" s="61" t="s">
        <v>151</v>
      </c>
      <c r="B21" s="61">
        <v>60028</v>
      </c>
      <c r="C21" t="s">
        <v>295</v>
      </c>
      <c r="D21" t="s">
        <v>318</v>
      </c>
      <c r="E21" s="171">
        <v>16518</v>
      </c>
      <c r="F21" s="171">
        <v>17132</v>
      </c>
      <c r="G21" s="171">
        <v>15980</v>
      </c>
      <c r="H21" s="171">
        <v>16006</v>
      </c>
      <c r="I21" s="171"/>
      <c r="J21" s="103" t="str">
        <f t="shared" si="0"/>
        <v>2021-2023</v>
      </c>
      <c r="K21" s="171">
        <f t="shared" si="1"/>
        <v>16372.666666666666</v>
      </c>
    </row>
    <row r="22" spans="1:12" x14ac:dyDescent="0.25">
      <c r="A22" s="61" t="s">
        <v>319</v>
      </c>
      <c r="B22" s="61">
        <v>60030</v>
      </c>
      <c r="C22" t="s">
        <v>289</v>
      </c>
      <c r="D22" t="s">
        <v>320</v>
      </c>
      <c r="E22" s="171">
        <v>2760</v>
      </c>
      <c r="F22" s="171">
        <v>2639</v>
      </c>
      <c r="G22" s="171">
        <v>2264</v>
      </c>
      <c r="H22" s="171">
        <v>2431</v>
      </c>
      <c r="I22" s="171"/>
      <c r="J22" s="103" t="str">
        <f t="shared" si="0"/>
        <v>2021-2023</v>
      </c>
      <c r="K22" s="171">
        <f t="shared" si="1"/>
        <v>2444.6666666666665</v>
      </c>
    </row>
    <row r="23" spans="1:12" x14ac:dyDescent="0.25">
      <c r="A23" s="61" t="s">
        <v>152</v>
      </c>
      <c r="B23" s="61">
        <v>60031</v>
      </c>
      <c r="C23" t="s">
        <v>292</v>
      </c>
      <c r="D23" t="s">
        <v>321</v>
      </c>
      <c r="E23" s="171">
        <v>24356</v>
      </c>
      <c r="F23" s="171">
        <v>25036</v>
      </c>
      <c r="G23" s="171">
        <v>24084</v>
      </c>
      <c r="H23" s="171">
        <v>24943</v>
      </c>
      <c r="I23" s="171"/>
      <c r="J23" s="103" t="str">
        <f t="shared" si="0"/>
        <v>2021-2023</v>
      </c>
      <c r="K23" s="171">
        <f t="shared" si="1"/>
        <v>24687.666666666668</v>
      </c>
    </row>
    <row r="24" spans="1:12" x14ac:dyDescent="0.25">
      <c r="A24" s="61" t="s">
        <v>153</v>
      </c>
      <c r="B24" s="61">
        <v>60032</v>
      </c>
      <c r="C24" t="s">
        <v>310</v>
      </c>
      <c r="D24" t="s">
        <v>322</v>
      </c>
      <c r="E24" s="171"/>
      <c r="F24" s="171">
        <v>11024</v>
      </c>
      <c r="G24" s="171">
        <v>11516</v>
      </c>
      <c r="H24" s="171">
        <v>14765</v>
      </c>
      <c r="I24" s="171"/>
      <c r="J24" s="103" t="str">
        <f t="shared" si="0"/>
        <v>2021-2023</v>
      </c>
      <c r="K24" s="171">
        <f t="shared" si="1"/>
        <v>12435</v>
      </c>
    </row>
    <row r="25" spans="1:12" x14ac:dyDescent="0.25">
      <c r="A25" s="61" t="s">
        <v>154</v>
      </c>
      <c r="B25" s="61">
        <v>60034</v>
      </c>
      <c r="C25" t="s">
        <v>310</v>
      </c>
      <c r="D25" t="s">
        <v>323</v>
      </c>
      <c r="E25" s="171">
        <v>20705</v>
      </c>
      <c r="F25" s="171">
        <v>20499</v>
      </c>
      <c r="G25" s="171">
        <v>20091</v>
      </c>
      <c r="H25" s="171">
        <v>19770</v>
      </c>
      <c r="I25" s="171"/>
      <c r="J25" s="103" t="str">
        <f t="shared" si="0"/>
        <v>2021-2023</v>
      </c>
      <c r="K25" s="171">
        <f t="shared" si="1"/>
        <v>20120</v>
      </c>
    </row>
    <row r="26" spans="1:12" x14ac:dyDescent="0.25">
      <c r="A26" s="61" t="s">
        <v>324</v>
      </c>
      <c r="B26" s="61">
        <v>60044</v>
      </c>
      <c r="C26" t="s">
        <v>292</v>
      </c>
      <c r="D26" s="6" t="s">
        <v>325</v>
      </c>
      <c r="E26" s="186">
        <v>915</v>
      </c>
      <c r="F26" s="171">
        <v>756</v>
      </c>
      <c r="G26" s="171"/>
      <c r="H26" s="171">
        <v>781</v>
      </c>
      <c r="I26" s="171"/>
      <c r="J26" s="103" t="s">
        <v>770</v>
      </c>
      <c r="K26" s="171">
        <f>AVERAGE(E26,F26,H26)</f>
        <v>817.33333333333337</v>
      </c>
      <c r="L26" s="6" t="s">
        <v>771</v>
      </c>
    </row>
    <row r="27" spans="1:12" x14ac:dyDescent="0.25">
      <c r="A27" s="61" t="s">
        <v>326</v>
      </c>
      <c r="B27" s="61">
        <v>60049</v>
      </c>
      <c r="C27" t="s">
        <v>304</v>
      </c>
      <c r="D27" s="6" t="s">
        <v>327</v>
      </c>
      <c r="E27" s="186">
        <v>1186</v>
      </c>
      <c r="F27" s="171">
        <v>1080</v>
      </c>
      <c r="G27" s="171">
        <v>1065</v>
      </c>
      <c r="H27" s="171">
        <v>1105</v>
      </c>
      <c r="I27" s="171"/>
      <c r="J27" s="103" t="str">
        <f t="shared" si="0"/>
        <v>2021-2023</v>
      </c>
      <c r="K27" s="171">
        <f t="shared" si="1"/>
        <v>1083.3333333333333</v>
      </c>
    </row>
    <row r="28" spans="1:12" x14ac:dyDescent="0.25">
      <c r="A28" s="61" t="s">
        <v>328</v>
      </c>
      <c r="B28" s="61">
        <v>60054</v>
      </c>
      <c r="C28" t="s">
        <v>240</v>
      </c>
      <c r="D28" s="6" t="s">
        <v>329</v>
      </c>
      <c r="E28" s="186">
        <v>2876</v>
      </c>
      <c r="F28" s="171">
        <v>3324</v>
      </c>
      <c r="G28" s="171">
        <v>3905</v>
      </c>
      <c r="H28" s="171">
        <v>4133</v>
      </c>
      <c r="I28" s="171"/>
      <c r="J28" s="103" t="str">
        <f t="shared" si="0"/>
        <v>2021-2023</v>
      </c>
      <c r="K28" s="171">
        <f t="shared" si="1"/>
        <v>3787.3333333333335</v>
      </c>
    </row>
    <row r="29" spans="1:12" x14ac:dyDescent="0.25">
      <c r="A29" s="61" t="s">
        <v>330</v>
      </c>
      <c r="B29" s="61">
        <v>60064</v>
      </c>
      <c r="C29" t="s">
        <v>332</v>
      </c>
      <c r="D29" t="s">
        <v>331</v>
      </c>
      <c r="E29" s="171">
        <v>7206</v>
      </c>
      <c r="F29" s="171">
        <v>7854</v>
      </c>
      <c r="G29" s="171">
        <v>7751</v>
      </c>
      <c r="H29" s="171">
        <v>7926</v>
      </c>
      <c r="I29" s="171"/>
      <c r="J29" s="103" t="str">
        <f t="shared" si="0"/>
        <v>2021-2023</v>
      </c>
      <c r="K29" s="171">
        <f t="shared" si="1"/>
        <v>7843.666666666667</v>
      </c>
    </row>
    <row r="30" spans="1:12" x14ac:dyDescent="0.25">
      <c r="A30" s="61" t="s">
        <v>155</v>
      </c>
      <c r="B30" s="61">
        <v>60065</v>
      </c>
      <c r="C30" t="s">
        <v>310</v>
      </c>
      <c r="D30" t="s">
        <v>333</v>
      </c>
      <c r="E30" s="171">
        <v>7425</v>
      </c>
      <c r="F30" s="171">
        <v>7047</v>
      </c>
      <c r="G30" s="171">
        <v>6392</v>
      </c>
      <c r="H30" s="171">
        <v>7421</v>
      </c>
      <c r="I30" s="171"/>
      <c r="J30" s="103" t="str">
        <f t="shared" si="0"/>
        <v>2021-2023</v>
      </c>
      <c r="K30" s="171">
        <f t="shared" si="1"/>
        <v>6953.333333333333</v>
      </c>
    </row>
    <row r="31" spans="1:12" x14ac:dyDescent="0.25">
      <c r="A31" s="61" t="s">
        <v>334</v>
      </c>
      <c r="B31" s="61">
        <v>60071</v>
      </c>
      <c r="C31" t="s">
        <v>240</v>
      </c>
      <c r="D31" t="s">
        <v>335</v>
      </c>
      <c r="E31" s="171">
        <v>1322</v>
      </c>
      <c r="F31" s="171">
        <v>1267</v>
      </c>
      <c r="G31" s="171">
        <v>1311</v>
      </c>
      <c r="H31" s="171">
        <v>1303</v>
      </c>
      <c r="I31" s="171"/>
      <c r="J31" s="103" t="str">
        <f t="shared" si="0"/>
        <v>2021-2023</v>
      </c>
      <c r="K31" s="171">
        <f t="shared" si="1"/>
        <v>1293.6666666666667</v>
      </c>
    </row>
    <row r="32" spans="1:12" x14ac:dyDescent="0.25">
      <c r="A32" s="61" t="s">
        <v>336</v>
      </c>
      <c r="B32" s="61">
        <v>60075</v>
      </c>
      <c r="C32" t="s">
        <v>240</v>
      </c>
      <c r="D32" t="s">
        <v>337</v>
      </c>
      <c r="E32" s="171">
        <v>2888</v>
      </c>
      <c r="F32" s="171">
        <v>2820</v>
      </c>
      <c r="G32" s="171">
        <v>2894</v>
      </c>
      <c r="H32" s="171">
        <v>3120</v>
      </c>
      <c r="I32" s="171"/>
      <c r="J32" s="103" t="str">
        <f t="shared" si="0"/>
        <v>2021-2023</v>
      </c>
      <c r="K32" s="171">
        <f t="shared" si="1"/>
        <v>2944.6666666666665</v>
      </c>
    </row>
    <row r="33" spans="1:11" x14ac:dyDescent="0.25">
      <c r="A33" s="61" t="s">
        <v>338</v>
      </c>
      <c r="B33" s="61">
        <v>60076</v>
      </c>
      <c r="C33" t="s">
        <v>289</v>
      </c>
      <c r="D33" t="s">
        <v>339</v>
      </c>
      <c r="E33" s="171">
        <v>1009</v>
      </c>
      <c r="F33" s="171">
        <v>996</v>
      </c>
      <c r="G33" s="171">
        <v>916</v>
      </c>
      <c r="H33" s="171">
        <v>904</v>
      </c>
      <c r="I33" s="171"/>
      <c r="J33" s="103" t="str">
        <f t="shared" si="0"/>
        <v>2021-2023</v>
      </c>
      <c r="K33" s="171">
        <f t="shared" si="1"/>
        <v>938.66666666666663</v>
      </c>
    </row>
    <row r="34" spans="1:11" x14ac:dyDescent="0.25">
      <c r="A34" s="61" t="s">
        <v>340</v>
      </c>
      <c r="B34" s="61">
        <v>60096</v>
      </c>
      <c r="C34" t="s">
        <v>240</v>
      </c>
      <c r="D34" t="s">
        <v>341</v>
      </c>
      <c r="E34" s="171">
        <v>1593</v>
      </c>
      <c r="F34" s="171">
        <v>1534</v>
      </c>
      <c r="G34" s="171">
        <v>1512</v>
      </c>
      <c r="H34" s="171">
        <v>1482</v>
      </c>
      <c r="I34" s="171"/>
      <c r="J34" s="103" t="str">
        <f t="shared" si="0"/>
        <v>2021-2023</v>
      </c>
      <c r="K34" s="171">
        <f t="shared" si="1"/>
        <v>1509.3333333333333</v>
      </c>
    </row>
    <row r="35" spans="1:11" x14ac:dyDescent="0.25">
      <c r="A35" s="61" t="s">
        <v>156</v>
      </c>
      <c r="B35" s="61">
        <v>60100</v>
      </c>
      <c r="C35" t="s">
        <v>310</v>
      </c>
      <c r="D35" t="s">
        <v>342</v>
      </c>
      <c r="E35" s="171">
        <v>16304</v>
      </c>
      <c r="F35" s="171">
        <v>17506</v>
      </c>
      <c r="G35" s="171">
        <v>17435</v>
      </c>
      <c r="H35" s="171">
        <v>16683</v>
      </c>
      <c r="I35" s="171"/>
      <c r="J35" s="103" t="str">
        <f t="shared" si="0"/>
        <v>2021-2023</v>
      </c>
      <c r="K35" s="171">
        <f t="shared" si="1"/>
        <v>17208</v>
      </c>
    </row>
    <row r="36" spans="1:11" x14ac:dyDescent="0.25">
      <c r="A36" s="61" t="s">
        <v>343</v>
      </c>
      <c r="B36" s="61">
        <v>60103</v>
      </c>
      <c r="C36" t="s">
        <v>332</v>
      </c>
      <c r="D36" t="s">
        <v>344</v>
      </c>
      <c r="E36" s="171">
        <v>4095</v>
      </c>
      <c r="F36" s="171">
        <v>4205</v>
      </c>
      <c r="G36" s="171">
        <v>4183</v>
      </c>
      <c r="H36" s="171">
        <v>4079</v>
      </c>
      <c r="I36" s="171"/>
      <c r="J36" s="103" t="str">
        <f t="shared" si="0"/>
        <v>2021-2023</v>
      </c>
      <c r="K36" s="171">
        <f t="shared" si="1"/>
        <v>4155.666666666667</v>
      </c>
    </row>
    <row r="37" spans="1:11" x14ac:dyDescent="0.25">
      <c r="A37" s="61" t="s">
        <v>157</v>
      </c>
      <c r="B37" s="61">
        <v>60104</v>
      </c>
      <c r="C37" t="s">
        <v>292</v>
      </c>
      <c r="D37" t="s">
        <v>345</v>
      </c>
      <c r="E37" s="171">
        <v>5818</v>
      </c>
      <c r="F37" s="171">
        <v>6642</v>
      </c>
      <c r="G37" s="171">
        <v>7094</v>
      </c>
      <c r="H37" s="171">
        <v>7634</v>
      </c>
      <c r="I37" s="171"/>
      <c r="J37" s="103" t="str">
        <f t="shared" si="0"/>
        <v>2021-2023</v>
      </c>
      <c r="K37" s="171">
        <f t="shared" si="1"/>
        <v>7123.333333333333</v>
      </c>
    </row>
    <row r="38" spans="1:11" x14ac:dyDescent="0.25">
      <c r="A38" s="61" t="s">
        <v>158</v>
      </c>
      <c r="B38" s="61">
        <v>60107</v>
      </c>
      <c r="C38" t="s">
        <v>240</v>
      </c>
      <c r="D38" t="s">
        <v>346</v>
      </c>
      <c r="E38" s="171">
        <v>73</v>
      </c>
      <c r="F38" s="171">
        <v>62</v>
      </c>
      <c r="G38" s="171">
        <v>67</v>
      </c>
      <c r="H38" s="171">
        <v>69</v>
      </c>
      <c r="I38" s="171"/>
      <c r="J38" s="103" t="str">
        <f t="shared" si="0"/>
        <v>2021-2023</v>
      </c>
      <c r="K38" s="171">
        <f t="shared" si="1"/>
        <v>66</v>
      </c>
    </row>
    <row r="39" spans="1:11" x14ac:dyDescent="0.25">
      <c r="A39" s="61" t="s">
        <v>159</v>
      </c>
      <c r="B39" s="61">
        <v>60112</v>
      </c>
      <c r="C39" t="s">
        <v>310</v>
      </c>
      <c r="D39" t="s">
        <v>347</v>
      </c>
      <c r="E39" s="171">
        <v>15005</v>
      </c>
      <c r="F39" s="171">
        <v>15229</v>
      </c>
      <c r="G39" s="171">
        <v>16008</v>
      </c>
      <c r="H39" s="171">
        <v>15992</v>
      </c>
      <c r="I39" s="171"/>
      <c r="J39" s="103" t="str">
        <f t="shared" si="0"/>
        <v>2021-2023</v>
      </c>
      <c r="K39" s="171">
        <f t="shared" si="1"/>
        <v>15743</v>
      </c>
    </row>
    <row r="40" spans="1:11" x14ac:dyDescent="0.25">
      <c r="A40" s="61" t="s">
        <v>348</v>
      </c>
      <c r="B40" s="61">
        <v>60113</v>
      </c>
      <c r="C40" t="s">
        <v>332</v>
      </c>
      <c r="D40" t="s">
        <v>349</v>
      </c>
      <c r="E40" s="171">
        <v>8508</v>
      </c>
      <c r="F40" s="171">
        <v>9140</v>
      </c>
      <c r="G40" s="171">
        <v>9124</v>
      </c>
      <c r="H40" s="171">
        <v>9683</v>
      </c>
      <c r="I40" s="171"/>
      <c r="J40" s="103" t="str">
        <f t="shared" si="0"/>
        <v>2021-2023</v>
      </c>
      <c r="K40" s="171">
        <f t="shared" si="1"/>
        <v>9315.6666666666661</v>
      </c>
    </row>
    <row r="41" spans="1:11" x14ac:dyDescent="0.25">
      <c r="A41" s="61" t="s">
        <v>350</v>
      </c>
      <c r="B41" s="61">
        <v>60114</v>
      </c>
      <c r="C41" t="s">
        <v>332</v>
      </c>
      <c r="D41" t="s">
        <v>351</v>
      </c>
      <c r="E41" s="171">
        <v>7685</v>
      </c>
      <c r="F41" s="171">
        <v>8525</v>
      </c>
      <c r="G41" s="171">
        <v>8482</v>
      </c>
      <c r="H41" s="171">
        <v>8451</v>
      </c>
      <c r="I41" s="171"/>
      <c r="J41" s="103" t="str">
        <f t="shared" si="0"/>
        <v>2021-2023</v>
      </c>
      <c r="K41" s="171">
        <f t="shared" si="1"/>
        <v>8486</v>
      </c>
    </row>
    <row r="42" spans="1:11" x14ac:dyDescent="0.25">
      <c r="A42" s="61" t="s">
        <v>352</v>
      </c>
      <c r="B42" s="61">
        <v>60116</v>
      </c>
      <c r="C42" t="s">
        <v>295</v>
      </c>
      <c r="D42" t="s">
        <v>353</v>
      </c>
      <c r="E42" s="171">
        <v>11169</v>
      </c>
      <c r="F42" s="171">
        <v>11245</v>
      </c>
      <c r="G42" s="171">
        <v>10519</v>
      </c>
      <c r="H42" s="171">
        <v>10033</v>
      </c>
      <c r="I42" s="171"/>
      <c r="J42" s="103" t="str">
        <f t="shared" si="0"/>
        <v>2021-2023</v>
      </c>
      <c r="K42" s="171">
        <f t="shared" si="1"/>
        <v>10599</v>
      </c>
    </row>
    <row r="43" spans="1:11" x14ac:dyDescent="0.25">
      <c r="A43" s="61" t="s">
        <v>354</v>
      </c>
      <c r="B43" s="61">
        <v>60117</v>
      </c>
      <c r="C43" t="s">
        <v>240</v>
      </c>
      <c r="D43" t="s">
        <v>355</v>
      </c>
      <c r="E43" s="171">
        <v>619</v>
      </c>
      <c r="F43" s="171">
        <v>555</v>
      </c>
      <c r="G43" s="171">
        <v>1030</v>
      </c>
      <c r="H43" s="171">
        <v>1007</v>
      </c>
      <c r="I43" s="171"/>
      <c r="J43" s="103" t="str">
        <f t="shared" si="0"/>
        <v>2021-2023</v>
      </c>
      <c r="K43" s="171">
        <f t="shared" si="1"/>
        <v>864</v>
      </c>
    </row>
    <row r="44" spans="1:11" x14ac:dyDescent="0.25">
      <c r="A44" s="61" t="s">
        <v>356</v>
      </c>
      <c r="B44" s="61">
        <v>60118</v>
      </c>
      <c r="C44" t="s">
        <v>292</v>
      </c>
      <c r="D44" t="s">
        <v>357</v>
      </c>
      <c r="E44" s="171">
        <v>1306</v>
      </c>
      <c r="F44" s="171">
        <v>1262</v>
      </c>
      <c r="G44" s="171">
        <v>1328</v>
      </c>
      <c r="H44" s="171">
        <v>1342</v>
      </c>
      <c r="I44" s="171"/>
      <c r="J44" s="103" t="str">
        <f t="shared" si="0"/>
        <v>2021-2023</v>
      </c>
      <c r="K44" s="171">
        <f t="shared" si="1"/>
        <v>1310.6666666666667</v>
      </c>
    </row>
    <row r="45" spans="1:11" x14ac:dyDescent="0.25">
      <c r="A45" s="61" t="s">
        <v>160</v>
      </c>
      <c r="B45" s="103">
        <v>60119</v>
      </c>
      <c r="C45" t="s">
        <v>304</v>
      </c>
      <c r="D45" t="s">
        <v>358</v>
      </c>
      <c r="E45" s="171">
        <v>11501</v>
      </c>
      <c r="F45" s="171">
        <v>11333</v>
      </c>
      <c r="G45" s="171">
        <v>9700</v>
      </c>
      <c r="H45" s="171">
        <v>10655</v>
      </c>
      <c r="I45" s="171"/>
      <c r="J45" s="103" t="str">
        <f t="shared" si="0"/>
        <v>2021-2023</v>
      </c>
      <c r="K45" s="171">
        <f t="shared" si="1"/>
        <v>10562.666666666666</v>
      </c>
    </row>
    <row r="46" spans="1:11" x14ac:dyDescent="0.25">
      <c r="A46" s="61" t="s">
        <v>359</v>
      </c>
      <c r="B46" s="61">
        <v>60124</v>
      </c>
      <c r="C46" t="s">
        <v>292</v>
      </c>
      <c r="D46" t="s">
        <v>360</v>
      </c>
      <c r="E46" s="171">
        <v>2182</v>
      </c>
      <c r="F46" s="171">
        <v>1623</v>
      </c>
      <c r="G46" s="171">
        <v>969</v>
      </c>
      <c r="H46" s="171">
        <v>821</v>
      </c>
      <c r="I46" s="171"/>
      <c r="J46" s="103" t="str">
        <f t="shared" si="0"/>
        <v>2021-2023</v>
      </c>
      <c r="K46" s="171">
        <f t="shared" si="1"/>
        <v>1137.6666666666667</v>
      </c>
    </row>
    <row r="47" spans="1:11" x14ac:dyDescent="0.25">
      <c r="A47" s="61" t="s">
        <v>361</v>
      </c>
      <c r="B47" s="61">
        <v>60125</v>
      </c>
      <c r="C47" t="s">
        <v>332</v>
      </c>
      <c r="D47" t="s">
        <v>362</v>
      </c>
      <c r="E47" s="171">
        <v>3319</v>
      </c>
      <c r="F47" s="171">
        <v>3663</v>
      </c>
      <c r="G47" s="171">
        <v>4651</v>
      </c>
      <c r="H47" s="171">
        <v>4518</v>
      </c>
      <c r="I47" s="171"/>
      <c r="J47" s="103" t="str">
        <f t="shared" si="0"/>
        <v>2021-2023</v>
      </c>
      <c r="K47" s="171">
        <f t="shared" si="1"/>
        <v>4277.333333333333</v>
      </c>
    </row>
    <row r="48" spans="1:11" x14ac:dyDescent="0.25">
      <c r="A48" s="61" t="s">
        <v>363</v>
      </c>
      <c r="B48" s="61">
        <v>60126</v>
      </c>
      <c r="C48" t="s">
        <v>289</v>
      </c>
      <c r="D48" t="s">
        <v>364</v>
      </c>
      <c r="E48" s="171">
        <v>1026</v>
      </c>
      <c r="F48" s="171">
        <v>1310</v>
      </c>
      <c r="G48" s="171">
        <v>1448</v>
      </c>
      <c r="H48" s="171">
        <v>1378</v>
      </c>
      <c r="I48" s="171"/>
      <c r="J48" s="103" t="str">
        <f t="shared" si="0"/>
        <v>2021-2023</v>
      </c>
      <c r="K48" s="171">
        <f t="shared" si="1"/>
        <v>1378.6666666666667</v>
      </c>
    </row>
    <row r="49" spans="1:12" x14ac:dyDescent="0.25">
      <c r="A49" s="61" t="s">
        <v>365</v>
      </c>
      <c r="B49" s="61">
        <v>60128</v>
      </c>
      <c r="C49" t="s">
        <v>304</v>
      </c>
      <c r="D49" t="s">
        <v>366</v>
      </c>
      <c r="E49" s="171">
        <v>3150</v>
      </c>
      <c r="F49" s="171">
        <v>3653</v>
      </c>
      <c r="G49" s="171">
        <v>4135</v>
      </c>
      <c r="H49" s="171">
        <v>4829</v>
      </c>
      <c r="I49" s="171"/>
      <c r="J49" s="103" t="str">
        <f t="shared" si="0"/>
        <v>2021-2023</v>
      </c>
      <c r="K49" s="171">
        <f t="shared" si="1"/>
        <v>4205.666666666667</v>
      </c>
    </row>
    <row r="50" spans="1:12" x14ac:dyDescent="0.25">
      <c r="A50" s="61" t="s">
        <v>162</v>
      </c>
      <c r="B50" s="61">
        <v>60129</v>
      </c>
      <c r="C50" t="s">
        <v>304</v>
      </c>
      <c r="D50" t="s">
        <v>367</v>
      </c>
      <c r="E50" s="171">
        <v>787</v>
      </c>
      <c r="F50" s="171">
        <v>1049</v>
      </c>
      <c r="G50" s="171">
        <v>1074</v>
      </c>
      <c r="H50" s="171">
        <v>1073</v>
      </c>
      <c r="I50" s="171"/>
      <c r="J50" s="103" t="str">
        <f t="shared" si="0"/>
        <v>2021-2023</v>
      </c>
      <c r="K50" s="171">
        <f t="shared" si="1"/>
        <v>1065.3333333333333</v>
      </c>
    </row>
    <row r="51" spans="1:12" x14ac:dyDescent="0.25">
      <c r="A51" s="61" t="s">
        <v>368</v>
      </c>
      <c r="B51" s="61">
        <v>60130</v>
      </c>
      <c r="C51" t="s">
        <v>304</v>
      </c>
      <c r="D51" t="s">
        <v>369</v>
      </c>
      <c r="E51" s="171">
        <v>874</v>
      </c>
      <c r="F51" s="171">
        <v>903</v>
      </c>
      <c r="G51" s="171">
        <v>868</v>
      </c>
      <c r="H51" s="171">
        <v>526</v>
      </c>
      <c r="I51" s="171"/>
      <c r="J51" s="103" t="str">
        <f t="shared" si="0"/>
        <v>2021-2023</v>
      </c>
      <c r="K51" s="171">
        <f t="shared" si="1"/>
        <v>765.66666666666663</v>
      </c>
    </row>
    <row r="52" spans="1:12" x14ac:dyDescent="0.25">
      <c r="A52" s="61" t="s">
        <v>370</v>
      </c>
      <c r="B52" s="61">
        <v>60131</v>
      </c>
      <c r="C52" t="s">
        <v>304</v>
      </c>
      <c r="D52" t="s">
        <v>371</v>
      </c>
      <c r="E52" s="171"/>
      <c r="F52" s="171">
        <v>3282</v>
      </c>
      <c r="G52" s="171">
        <v>3340</v>
      </c>
      <c r="H52" s="171">
        <v>3895</v>
      </c>
      <c r="I52" s="171"/>
      <c r="J52" s="103" t="str">
        <f t="shared" si="0"/>
        <v>2021-2023</v>
      </c>
      <c r="K52" s="171">
        <f t="shared" si="1"/>
        <v>3505.6666666666665</v>
      </c>
    </row>
    <row r="53" spans="1:12" x14ac:dyDescent="0.25">
      <c r="A53" s="61" t="s">
        <v>372</v>
      </c>
      <c r="B53" s="61">
        <v>60132</v>
      </c>
      <c r="C53" t="s">
        <v>304</v>
      </c>
      <c r="D53" t="s">
        <v>373</v>
      </c>
      <c r="E53" s="171"/>
      <c r="F53" s="171">
        <v>4522</v>
      </c>
      <c r="G53" s="171">
        <v>5445</v>
      </c>
      <c r="H53" s="171">
        <v>6032</v>
      </c>
      <c r="I53" s="171"/>
      <c r="J53" s="103" t="str">
        <f t="shared" si="0"/>
        <v>2021-2023</v>
      </c>
      <c r="K53" s="171">
        <f t="shared" si="1"/>
        <v>5333</v>
      </c>
    </row>
    <row r="54" spans="1:12" x14ac:dyDescent="0.25">
      <c r="B54" s="61">
        <v>60133</v>
      </c>
      <c r="C54" t="s">
        <v>376</v>
      </c>
      <c r="D54" s="6" t="s">
        <v>375</v>
      </c>
      <c r="E54" s="186"/>
      <c r="F54" s="171"/>
      <c r="G54" s="171"/>
      <c r="H54" s="171"/>
      <c r="J54" s="61" t="s">
        <v>377</v>
      </c>
      <c r="K54" s="61" t="s">
        <v>377</v>
      </c>
      <c r="L54" s="81" t="s">
        <v>772</v>
      </c>
    </row>
    <row r="55" spans="1:12" x14ac:dyDescent="0.25">
      <c r="A55" s="61" t="s">
        <v>378</v>
      </c>
      <c r="B55" s="61">
        <v>61300</v>
      </c>
      <c r="D55" t="s">
        <v>379</v>
      </c>
      <c r="E55" s="171">
        <v>42</v>
      </c>
      <c r="F55" s="171">
        <v>43</v>
      </c>
      <c r="G55" s="171">
        <v>42</v>
      </c>
      <c r="H55" s="171">
        <v>25</v>
      </c>
      <c r="J55" s="103" t="str">
        <f t="shared" si="0"/>
        <v>2021-2023</v>
      </c>
      <c r="K55" s="171">
        <f t="shared" ref="K55:K88" si="2">IF(I55=0,AVERAGE(F55:H55),AVERAGE(G55:I55))</f>
        <v>36.666666666666664</v>
      </c>
    </row>
    <row r="56" spans="1:12" x14ac:dyDescent="0.25">
      <c r="A56" s="61" t="s">
        <v>380</v>
      </c>
      <c r="B56" s="61">
        <v>61301</v>
      </c>
      <c r="D56" t="s">
        <v>381</v>
      </c>
      <c r="E56" s="171">
        <v>456</v>
      </c>
      <c r="F56" s="171">
        <v>511</v>
      </c>
      <c r="G56" s="171">
        <v>649</v>
      </c>
      <c r="H56" s="171">
        <v>651</v>
      </c>
      <c r="I56" s="171"/>
      <c r="J56" s="103" t="str">
        <f t="shared" si="0"/>
        <v>2021-2023</v>
      </c>
      <c r="K56" s="171">
        <f t="shared" si="2"/>
        <v>603.66666666666663</v>
      </c>
    </row>
    <row r="57" spans="1:12" x14ac:dyDescent="0.25">
      <c r="A57" s="61" t="s">
        <v>382</v>
      </c>
      <c r="B57" s="61">
        <v>61302</v>
      </c>
      <c r="D57" t="s">
        <v>383</v>
      </c>
      <c r="E57" s="171">
        <v>225</v>
      </c>
      <c r="F57" s="171">
        <v>248</v>
      </c>
      <c r="G57" s="171">
        <v>186</v>
      </c>
      <c r="H57" s="171">
        <v>202</v>
      </c>
      <c r="I57" s="171"/>
      <c r="J57" s="103" t="str">
        <f t="shared" si="0"/>
        <v>2021-2023</v>
      </c>
      <c r="K57" s="171">
        <f t="shared" si="2"/>
        <v>212</v>
      </c>
    </row>
    <row r="58" spans="1:12" x14ac:dyDescent="0.25">
      <c r="A58" s="61" t="s">
        <v>384</v>
      </c>
      <c r="B58" s="61">
        <v>61303</v>
      </c>
      <c r="C58" t="s">
        <v>289</v>
      </c>
      <c r="D58" t="s">
        <v>385</v>
      </c>
      <c r="E58" s="171">
        <v>339</v>
      </c>
      <c r="F58" s="171">
        <v>546</v>
      </c>
      <c r="G58" s="171">
        <v>475</v>
      </c>
      <c r="H58" s="171">
        <v>460</v>
      </c>
      <c r="I58" s="171"/>
      <c r="J58" s="103" t="str">
        <f t="shared" si="0"/>
        <v>2021-2023</v>
      </c>
      <c r="K58" s="171">
        <f t="shared" si="2"/>
        <v>493.66666666666669</v>
      </c>
    </row>
    <row r="59" spans="1:12" x14ac:dyDescent="0.25">
      <c r="A59" s="61" t="s">
        <v>386</v>
      </c>
      <c r="B59" s="61">
        <v>61304</v>
      </c>
      <c r="D59" t="s">
        <v>387</v>
      </c>
      <c r="E59" s="171">
        <v>87</v>
      </c>
      <c r="F59" s="171">
        <v>85</v>
      </c>
      <c r="G59" s="171">
        <v>82</v>
      </c>
      <c r="H59" s="171">
        <v>68</v>
      </c>
      <c r="I59" s="171"/>
      <c r="J59" s="103" t="str">
        <f t="shared" si="0"/>
        <v>2021-2023</v>
      </c>
      <c r="K59" s="171">
        <f t="shared" si="2"/>
        <v>78.333333333333329</v>
      </c>
    </row>
    <row r="60" spans="1:12" x14ac:dyDescent="0.25">
      <c r="A60" s="61" t="s">
        <v>388</v>
      </c>
      <c r="B60" s="61">
        <v>61305</v>
      </c>
      <c r="D60" t="s">
        <v>389</v>
      </c>
      <c r="E60" s="171">
        <v>175</v>
      </c>
      <c r="F60" s="171">
        <v>141</v>
      </c>
      <c r="G60" s="171">
        <v>109</v>
      </c>
      <c r="H60" s="171">
        <v>104</v>
      </c>
      <c r="I60" s="171"/>
      <c r="J60" s="103" t="str">
        <f t="shared" si="0"/>
        <v>2021-2023</v>
      </c>
      <c r="K60" s="171">
        <f t="shared" si="2"/>
        <v>118</v>
      </c>
    </row>
    <row r="61" spans="1:12" x14ac:dyDescent="0.25">
      <c r="A61" s="61" t="s">
        <v>390</v>
      </c>
      <c r="B61" s="61">
        <v>61306</v>
      </c>
      <c r="D61" t="s">
        <v>391</v>
      </c>
      <c r="E61" s="171">
        <v>146</v>
      </c>
      <c r="F61" s="171">
        <v>204</v>
      </c>
      <c r="G61" s="171">
        <v>238</v>
      </c>
      <c r="H61" s="171">
        <v>198</v>
      </c>
      <c r="I61" s="171"/>
      <c r="J61" s="103" t="str">
        <f t="shared" si="0"/>
        <v>2021-2023</v>
      </c>
      <c r="K61" s="171">
        <f t="shared" si="2"/>
        <v>213.33333333333334</v>
      </c>
    </row>
    <row r="62" spans="1:12" x14ac:dyDescent="0.25">
      <c r="A62" s="61" t="s">
        <v>392</v>
      </c>
      <c r="B62" s="61">
        <v>61307</v>
      </c>
      <c r="D62" t="s">
        <v>393</v>
      </c>
      <c r="E62" s="171">
        <v>66</v>
      </c>
      <c r="F62" s="171">
        <v>61</v>
      </c>
      <c r="G62" s="171">
        <v>66</v>
      </c>
      <c r="H62" s="171">
        <v>50</v>
      </c>
      <c r="I62" s="171"/>
      <c r="J62" s="103" t="str">
        <f t="shared" si="0"/>
        <v>2021-2023</v>
      </c>
      <c r="K62" s="171">
        <f t="shared" si="2"/>
        <v>59</v>
      </c>
    </row>
    <row r="63" spans="1:12" x14ac:dyDescent="0.25">
      <c r="A63" s="61" t="s">
        <v>394</v>
      </c>
      <c r="B63" s="61">
        <v>61308</v>
      </c>
      <c r="C63" t="s">
        <v>300</v>
      </c>
      <c r="D63" t="s">
        <v>395</v>
      </c>
      <c r="E63" s="171">
        <v>213</v>
      </c>
      <c r="F63" s="171">
        <v>216</v>
      </c>
      <c r="G63" s="171">
        <v>219</v>
      </c>
      <c r="H63" s="171">
        <v>192</v>
      </c>
      <c r="I63" s="171"/>
      <c r="J63" s="103" t="str">
        <f t="shared" si="0"/>
        <v>2021-2023</v>
      </c>
      <c r="K63" s="171">
        <f t="shared" si="2"/>
        <v>209</v>
      </c>
    </row>
    <row r="64" spans="1:12" x14ac:dyDescent="0.25">
      <c r="A64" s="61" t="s">
        <v>164</v>
      </c>
      <c r="B64" s="61">
        <v>61309</v>
      </c>
      <c r="D64" t="s">
        <v>219</v>
      </c>
      <c r="E64" s="171">
        <v>295</v>
      </c>
      <c r="F64" s="171">
        <v>342</v>
      </c>
      <c r="G64" s="171">
        <v>363</v>
      </c>
      <c r="H64" s="171">
        <v>315</v>
      </c>
      <c r="I64" s="171"/>
      <c r="J64" s="103" t="str">
        <f t="shared" si="0"/>
        <v>2021-2023</v>
      </c>
      <c r="K64" s="171">
        <f t="shared" si="2"/>
        <v>340</v>
      </c>
    </row>
    <row r="65" spans="1:11" x14ac:dyDescent="0.25">
      <c r="A65" s="61" t="s">
        <v>396</v>
      </c>
      <c r="B65" s="61">
        <v>61310</v>
      </c>
      <c r="D65" t="s">
        <v>397</v>
      </c>
      <c r="E65" s="171">
        <v>159</v>
      </c>
      <c r="F65" s="171">
        <v>132</v>
      </c>
      <c r="G65" s="171">
        <v>117</v>
      </c>
      <c r="H65" s="171">
        <v>124</v>
      </c>
      <c r="I65" s="171"/>
      <c r="J65" s="103" t="str">
        <f t="shared" si="0"/>
        <v>2021-2023</v>
      </c>
      <c r="K65" s="171">
        <f t="shared" si="2"/>
        <v>124.33333333333333</v>
      </c>
    </row>
    <row r="66" spans="1:11" x14ac:dyDescent="0.25">
      <c r="A66" s="61" t="s">
        <v>398</v>
      </c>
      <c r="B66" s="61">
        <v>61311</v>
      </c>
      <c r="D66" t="s">
        <v>399</v>
      </c>
      <c r="E66" s="171">
        <v>168</v>
      </c>
      <c r="F66" s="171">
        <v>161</v>
      </c>
      <c r="G66" s="171">
        <v>141</v>
      </c>
      <c r="H66" s="171">
        <v>170</v>
      </c>
      <c r="I66" s="171"/>
      <c r="J66" s="103" t="str">
        <f t="shared" si="0"/>
        <v>2021-2023</v>
      </c>
      <c r="K66" s="171">
        <f t="shared" si="2"/>
        <v>157.33333333333334</v>
      </c>
    </row>
    <row r="67" spans="1:11" x14ac:dyDescent="0.25">
      <c r="A67" s="61" t="s">
        <v>400</v>
      </c>
      <c r="B67" s="61">
        <v>61312</v>
      </c>
      <c r="D67" t="s">
        <v>401</v>
      </c>
      <c r="E67" s="171">
        <v>342</v>
      </c>
      <c r="F67" s="171">
        <v>320</v>
      </c>
      <c r="G67" s="171">
        <v>259</v>
      </c>
      <c r="H67" s="171">
        <v>164</v>
      </c>
      <c r="I67" s="171"/>
      <c r="J67" s="103" t="str">
        <f t="shared" si="0"/>
        <v>2021-2023</v>
      </c>
      <c r="K67" s="171">
        <f t="shared" si="2"/>
        <v>247.66666666666666</v>
      </c>
    </row>
    <row r="68" spans="1:11" x14ac:dyDescent="0.25">
      <c r="A68" s="61" t="s">
        <v>402</v>
      </c>
      <c r="B68" s="61">
        <v>61313</v>
      </c>
      <c r="D68" t="s">
        <v>403</v>
      </c>
      <c r="E68" s="171">
        <v>158</v>
      </c>
      <c r="F68" s="171">
        <v>205</v>
      </c>
      <c r="G68" s="171">
        <v>102</v>
      </c>
      <c r="H68" s="171">
        <v>137</v>
      </c>
      <c r="I68" s="171"/>
      <c r="J68" s="103" t="str">
        <f t="shared" si="0"/>
        <v>2021-2023</v>
      </c>
      <c r="K68" s="171">
        <f t="shared" si="2"/>
        <v>148</v>
      </c>
    </row>
    <row r="69" spans="1:11" x14ac:dyDescent="0.25">
      <c r="A69" s="61" t="s">
        <v>404</v>
      </c>
      <c r="B69" s="61">
        <v>61314</v>
      </c>
      <c r="D69" t="s">
        <v>405</v>
      </c>
      <c r="E69" s="171">
        <v>527</v>
      </c>
      <c r="F69" s="171">
        <v>641</v>
      </c>
      <c r="G69" s="171">
        <v>448</v>
      </c>
      <c r="H69" s="171">
        <v>382</v>
      </c>
      <c r="I69" s="171"/>
      <c r="J69" s="103" t="str">
        <f t="shared" ref="J69:J88" si="3">IF(I69=0,"2021-2023","2022-2024")</f>
        <v>2021-2023</v>
      </c>
      <c r="K69" s="171">
        <f t="shared" si="2"/>
        <v>490.33333333333331</v>
      </c>
    </row>
    <row r="70" spans="1:11" x14ac:dyDescent="0.25">
      <c r="A70" s="61" t="s">
        <v>406</v>
      </c>
      <c r="B70" s="61">
        <v>61315</v>
      </c>
      <c r="D70" t="s">
        <v>407</v>
      </c>
      <c r="E70" s="171">
        <v>185</v>
      </c>
      <c r="F70" s="171">
        <v>170</v>
      </c>
      <c r="G70" s="171">
        <v>132</v>
      </c>
      <c r="H70" s="171">
        <v>92</v>
      </c>
      <c r="I70" s="171"/>
      <c r="J70" s="103" t="str">
        <f t="shared" si="3"/>
        <v>2021-2023</v>
      </c>
      <c r="K70" s="171">
        <f t="shared" si="2"/>
        <v>131.33333333333334</v>
      </c>
    </row>
    <row r="71" spans="1:11" x14ac:dyDescent="0.25">
      <c r="A71" s="61" t="s">
        <v>408</v>
      </c>
      <c r="B71" s="61">
        <v>61316</v>
      </c>
      <c r="D71" t="s">
        <v>409</v>
      </c>
      <c r="E71" s="171">
        <v>126</v>
      </c>
      <c r="F71" s="171">
        <v>158</v>
      </c>
      <c r="G71" s="171">
        <v>167</v>
      </c>
      <c r="H71" s="171">
        <v>179</v>
      </c>
      <c r="I71" s="171"/>
      <c r="J71" s="103" t="str">
        <f t="shared" si="3"/>
        <v>2021-2023</v>
      </c>
      <c r="K71" s="171">
        <f t="shared" si="2"/>
        <v>168</v>
      </c>
    </row>
    <row r="72" spans="1:11" x14ac:dyDescent="0.25">
      <c r="A72" s="61" t="s">
        <v>410</v>
      </c>
      <c r="B72" s="61">
        <v>61317</v>
      </c>
      <c r="D72" t="s">
        <v>411</v>
      </c>
      <c r="E72" s="171">
        <v>522</v>
      </c>
      <c r="F72" s="171">
        <v>579</v>
      </c>
      <c r="G72" s="171">
        <v>568</v>
      </c>
      <c r="H72" s="171">
        <v>500</v>
      </c>
      <c r="I72" s="171"/>
      <c r="J72" s="103" t="str">
        <f t="shared" si="3"/>
        <v>2021-2023</v>
      </c>
      <c r="K72" s="171">
        <f t="shared" si="2"/>
        <v>549</v>
      </c>
    </row>
    <row r="73" spans="1:11" x14ac:dyDescent="0.25">
      <c r="A73" s="61" t="s">
        <v>412</v>
      </c>
      <c r="B73" s="61">
        <v>61318</v>
      </c>
      <c r="D73" t="s">
        <v>413</v>
      </c>
      <c r="E73" s="171">
        <v>141</v>
      </c>
      <c r="F73" s="171">
        <v>150</v>
      </c>
      <c r="G73" s="171">
        <v>166</v>
      </c>
      <c r="H73" s="171">
        <v>117</v>
      </c>
      <c r="I73" s="171"/>
      <c r="J73" s="103" t="str">
        <f t="shared" si="3"/>
        <v>2021-2023</v>
      </c>
      <c r="K73" s="171">
        <f t="shared" si="2"/>
        <v>144.33333333333334</v>
      </c>
    </row>
    <row r="74" spans="1:11" x14ac:dyDescent="0.25">
      <c r="A74" s="61" t="s">
        <v>414</v>
      </c>
      <c r="B74" s="61">
        <v>61319</v>
      </c>
      <c r="D74" t="s">
        <v>415</v>
      </c>
      <c r="E74" s="171">
        <v>95</v>
      </c>
      <c r="F74" s="171">
        <v>126</v>
      </c>
      <c r="G74" s="171">
        <v>134</v>
      </c>
      <c r="H74" s="171">
        <v>85</v>
      </c>
      <c r="I74" s="171"/>
      <c r="J74" s="103" t="str">
        <f t="shared" si="3"/>
        <v>2021-2023</v>
      </c>
      <c r="K74" s="171">
        <f t="shared" si="2"/>
        <v>115</v>
      </c>
    </row>
    <row r="75" spans="1:11" x14ac:dyDescent="0.25">
      <c r="A75" s="61" t="s">
        <v>416</v>
      </c>
      <c r="B75" s="61">
        <v>61320</v>
      </c>
      <c r="D75" t="s">
        <v>417</v>
      </c>
      <c r="E75" s="171">
        <v>467</v>
      </c>
      <c r="F75" s="171">
        <v>513</v>
      </c>
      <c r="G75" s="171">
        <v>537</v>
      </c>
      <c r="H75" s="171">
        <v>513</v>
      </c>
      <c r="I75" s="171"/>
      <c r="J75" s="103" t="str">
        <f t="shared" si="3"/>
        <v>2021-2023</v>
      </c>
      <c r="K75" s="171">
        <f t="shared" si="2"/>
        <v>521</v>
      </c>
    </row>
    <row r="76" spans="1:11" x14ac:dyDescent="0.25">
      <c r="A76" s="61" t="s">
        <v>418</v>
      </c>
      <c r="B76" s="61">
        <v>61321</v>
      </c>
      <c r="D76" t="s">
        <v>419</v>
      </c>
      <c r="E76" s="171">
        <v>461</v>
      </c>
      <c r="F76" s="171">
        <v>413</v>
      </c>
      <c r="G76" s="171">
        <v>411</v>
      </c>
      <c r="H76" s="171">
        <v>497</v>
      </c>
      <c r="I76" s="171"/>
      <c r="J76" s="103" t="str">
        <f t="shared" si="3"/>
        <v>2021-2023</v>
      </c>
      <c r="K76" s="171">
        <f t="shared" si="2"/>
        <v>440.33333333333331</v>
      </c>
    </row>
    <row r="77" spans="1:11" x14ac:dyDescent="0.25">
      <c r="A77" s="61" t="s">
        <v>420</v>
      </c>
      <c r="B77" s="61">
        <v>61322</v>
      </c>
      <c r="D77" t="s">
        <v>421</v>
      </c>
      <c r="E77" s="171">
        <v>797</v>
      </c>
      <c r="F77" s="171">
        <v>832</v>
      </c>
      <c r="G77" s="171">
        <v>737</v>
      </c>
      <c r="H77" s="171">
        <v>740</v>
      </c>
      <c r="I77" s="171"/>
      <c r="J77" s="103" t="str">
        <f t="shared" si="3"/>
        <v>2021-2023</v>
      </c>
      <c r="K77" s="171">
        <f t="shared" si="2"/>
        <v>769.66666666666663</v>
      </c>
    </row>
    <row r="78" spans="1:11" x14ac:dyDescent="0.25">
      <c r="A78" s="61" t="s">
        <v>422</v>
      </c>
      <c r="B78" s="61">
        <v>61323</v>
      </c>
      <c r="D78" t="s">
        <v>423</v>
      </c>
      <c r="E78" s="171">
        <v>485</v>
      </c>
      <c r="F78" s="171">
        <v>405</v>
      </c>
      <c r="G78" s="171">
        <v>274</v>
      </c>
      <c r="H78" s="171">
        <v>389</v>
      </c>
      <c r="I78" s="171"/>
      <c r="J78" s="103" t="str">
        <f t="shared" si="3"/>
        <v>2021-2023</v>
      </c>
      <c r="K78" s="171">
        <f t="shared" si="2"/>
        <v>356</v>
      </c>
    </row>
    <row r="79" spans="1:11" x14ac:dyDescent="0.25">
      <c r="A79" s="61" t="s">
        <v>424</v>
      </c>
      <c r="B79" s="61">
        <v>61324</v>
      </c>
      <c r="D79" t="s">
        <v>425</v>
      </c>
      <c r="E79" s="171">
        <v>593</v>
      </c>
      <c r="F79" s="171">
        <v>523</v>
      </c>
      <c r="G79" s="171">
        <v>601</v>
      </c>
      <c r="H79" s="171">
        <v>634</v>
      </c>
      <c r="I79" s="171"/>
      <c r="J79" s="103" t="str">
        <f t="shared" si="3"/>
        <v>2021-2023</v>
      </c>
      <c r="K79" s="171">
        <f t="shared" si="2"/>
        <v>586</v>
      </c>
    </row>
    <row r="80" spans="1:11" x14ac:dyDescent="0.25">
      <c r="A80" s="61" t="s">
        <v>426</v>
      </c>
      <c r="B80" s="61">
        <v>61325</v>
      </c>
      <c r="D80" t="s">
        <v>427</v>
      </c>
      <c r="E80" s="171">
        <v>619</v>
      </c>
      <c r="F80" s="171">
        <v>518</v>
      </c>
      <c r="G80" s="171">
        <v>570</v>
      </c>
      <c r="H80" s="171">
        <v>476</v>
      </c>
      <c r="I80" s="171"/>
      <c r="J80" s="103" t="str">
        <f t="shared" si="3"/>
        <v>2021-2023</v>
      </c>
      <c r="K80" s="171">
        <f t="shared" si="2"/>
        <v>521.33333333333337</v>
      </c>
    </row>
    <row r="81" spans="1:17" x14ac:dyDescent="0.25">
      <c r="A81" s="61" t="s">
        <v>428</v>
      </c>
      <c r="B81" s="61">
        <v>61326</v>
      </c>
      <c r="C81" t="s">
        <v>304</v>
      </c>
      <c r="D81" t="s">
        <v>429</v>
      </c>
      <c r="E81" s="171">
        <v>380</v>
      </c>
      <c r="F81" s="171">
        <v>391</v>
      </c>
      <c r="G81" s="171">
        <v>370</v>
      </c>
      <c r="H81" s="171">
        <v>269</v>
      </c>
      <c r="I81" s="171"/>
      <c r="J81" s="103" t="str">
        <f t="shared" si="3"/>
        <v>2021-2023</v>
      </c>
      <c r="K81" s="171">
        <f t="shared" si="2"/>
        <v>343.33333333333331</v>
      </c>
    </row>
    <row r="82" spans="1:17" x14ac:dyDescent="0.25">
      <c r="A82" s="61" t="s">
        <v>430</v>
      </c>
      <c r="B82" s="61">
        <v>61327</v>
      </c>
      <c r="D82" t="s">
        <v>431</v>
      </c>
      <c r="E82" s="171">
        <v>908</v>
      </c>
      <c r="F82" s="171">
        <v>931</v>
      </c>
      <c r="G82" s="171">
        <v>895</v>
      </c>
      <c r="H82" s="171">
        <v>885</v>
      </c>
      <c r="I82" s="171"/>
      <c r="J82" s="103" t="str">
        <f t="shared" si="3"/>
        <v>2021-2023</v>
      </c>
      <c r="K82" s="171">
        <f t="shared" si="2"/>
        <v>903.66666666666663</v>
      </c>
    </row>
    <row r="83" spans="1:17" x14ac:dyDescent="0.25">
      <c r="A83" s="61" t="s">
        <v>432</v>
      </c>
      <c r="B83" s="61">
        <v>61328</v>
      </c>
      <c r="D83" t="s">
        <v>433</v>
      </c>
      <c r="E83" s="171">
        <v>277</v>
      </c>
      <c r="F83" s="171">
        <v>330</v>
      </c>
      <c r="G83" s="171">
        <v>319</v>
      </c>
      <c r="H83" s="171">
        <v>244</v>
      </c>
      <c r="I83" s="171"/>
      <c r="J83" s="103" t="str">
        <f t="shared" si="3"/>
        <v>2021-2023</v>
      </c>
      <c r="K83" s="171">
        <f t="shared" si="2"/>
        <v>297.66666666666669</v>
      </c>
    </row>
    <row r="84" spans="1:17" x14ac:dyDescent="0.25">
      <c r="A84" s="61" t="s">
        <v>434</v>
      </c>
      <c r="B84" s="103">
        <v>61336</v>
      </c>
      <c r="D84" t="s">
        <v>435</v>
      </c>
      <c r="E84" s="171">
        <v>953</v>
      </c>
      <c r="F84" s="171">
        <v>668</v>
      </c>
      <c r="G84" s="171">
        <v>697</v>
      </c>
      <c r="H84" s="171">
        <v>751</v>
      </c>
      <c r="I84" s="171">
        <v>601</v>
      </c>
      <c r="J84" s="103" t="str">
        <f t="shared" si="3"/>
        <v>2022-2024</v>
      </c>
      <c r="K84" s="171">
        <f t="shared" si="2"/>
        <v>683</v>
      </c>
      <c r="L84" s="186">
        <f>AVERAGE(G84:I84)</f>
        <v>683</v>
      </c>
      <c r="M84" s="6" t="s">
        <v>769</v>
      </c>
    </row>
    <row r="85" spans="1:17" x14ac:dyDescent="0.25">
      <c r="A85" s="61" t="s">
        <v>436</v>
      </c>
      <c r="B85" s="103">
        <v>61343</v>
      </c>
      <c r="D85" t="s">
        <v>437</v>
      </c>
      <c r="E85" s="171">
        <v>40</v>
      </c>
      <c r="F85" s="171">
        <v>42</v>
      </c>
      <c r="G85" s="171">
        <v>51</v>
      </c>
      <c r="H85" s="171">
        <v>39</v>
      </c>
      <c r="I85" s="171"/>
      <c r="J85" s="103" t="str">
        <f t="shared" si="3"/>
        <v>2021-2023</v>
      </c>
      <c r="K85" s="171">
        <f t="shared" si="2"/>
        <v>44</v>
      </c>
    </row>
    <row r="86" spans="1:17" x14ac:dyDescent="0.25">
      <c r="A86" s="61" t="s">
        <v>438</v>
      </c>
      <c r="B86" s="103">
        <v>61344</v>
      </c>
      <c r="C86" t="s">
        <v>292</v>
      </c>
      <c r="D86" t="s">
        <v>439</v>
      </c>
      <c r="E86" s="171">
        <v>1621</v>
      </c>
      <c r="F86" s="171">
        <v>1642</v>
      </c>
      <c r="G86" s="171">
        <v>1579</v>
      </c>
      <c r="H86" s="171">
        <v>1610</v>
      </c>
      <c r="I86" s="171"/>
      <c r="J86" s="103" t="str">
        <f t="shared" si="3"/>
        <v>2021-2023</v>
      </c>
      <c r="K86" s="171">
        <f t="shared" si="2"/>
        <v>1610.3333333333333</v>
      </c>
    </row>
    <row r="87" spans="1:17" x14ac:dyDescent="0.25">
      <c r="A87" s="61" t="s">
        <v>165</v>
      </c>
      <c r="B87" s="61">
        <v>63301</v>
      </c>
      <c r="C87" t="s">
        <v>221</v>
      </c>
      <c r="D87" t="s">
        <v>220</v>
      </c>
      <c r="E87" s="171">
        <v>12441</v>
      </c>
      <c r="F87" s="171">
        <v>14152</v>
      </c>
      <c r="G87" s="171">
        <v>17152</v>
      </c>
      <c r="H87" s="171">
        <v>15638</v>
      </c>
      <c r="I87" s="171"/>
      <c r="J87" s="103" t="str">
        <f t="shared" si="3"/>
        <v>2021-2023</v>
      </c>
      <c r="K87" s="171">
        <f t="shared" si="2"/>
        <v>15647.333333333334</v>
      </c>
      <c r="L87" s="236"/>
      <c r="M87" s="166"/>
      <c r="N87" s="166"/>
      <c r="O87" s="166"/>
      <c r="P87" s="166"/>
      <c r="Q87" s="166"/>
    </row>
    <row r="88" spans="1:17" x14ac:dyDescent="0.25">
      <c r="A88" s="61" t="s">
        <v>440</v>
      </c>
      <c r="B88" s="61">
        <v>63303</v>
      </c>
      <c r="C88" t="s">
        <v>221</v>
      </c>
      <c r="D88" t="s">
        <v>441</v>
      </c>
      <c r="E88" s="171">
        <v>2975</v>
      </c>
      <c r="F88" s="171">
        <v>3831</v>
      </c>
      <c r="G88" s="171">
        <v>4106</v>
      </c>
      <c r="H88" s="171">
        <v>3752</v>
      </c>
      <c r="I88" s="171"/>
      <c r="J88" s="103" t="str">
        <f t="shared" si="3"/>
        <v>2021-2023</v>
      </c>
      <c r="K88" s="171">
        <f t="shared" si="2"/>
        <v>3896.3333333333335</v>
      </c>
      <c r="L88" s="236"/>
      <c r="M88" s="166"/>
      <c r="N88" s="166"/>
      <c r="O88" s="166"/>
      <c r="P88" s="166"/>
      <c r="Q88" s="166"/>
    </row>
    <row r="89" spans="1:17" x14ac:dyDescent="0.25">
      <c r="A89" s="81" t="s">
        <v>773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71FA-AD72-4E0F-8D1B-07B1C170494E}">
  <sheetPr>
    <tabColor theme="8" tint="0.59999389629810485"/>
  </sheetPr>
  <dimension ref="A1:AI362"/>
  <sheetViews>
    <sheetView workbookViewId="0">
      <pane xSplit="4" ySplit="4" topLeftCell="E7" activePane="bottomRight" state="frozen"/>
      <selection pane="topRight" activeCell="E1" sqref="E1"/>
      <selection pane="bottomLeft" activeCell="A5" sqref="A5"/>
      <selection pane="bottomRight"/>
    </sheetView>
  </sheetViews>
  <sheetFormatPr defaultRowHeight="15" x14ac:dyDescent="0.25"/>
  <cols>
    <col min="1" max="1" width="14.85546875" style="61" customWidth="1"/>
    <col min="2" max="2" width="12" style="61" customWidth="1"/>
    <col min="3" max="3" width="20.140625" style="168" customWidth="1"/>
    <col min="4" max="4" width="43.140625" style="62" bestFit="1" customWidth="1"/>
    <col min="5" max="5" width="8.7109375" style="62" customWidth="1"/>
    <col min="6" max="6" width="8.5703125" style="62" customWidth="1"/>
    <col min="7" max="7" width="9.28515625" bestFit="1" customWidth="1"/>
    <col min="8" max="8" width="9.5703125" bestFit="1" customWidth="1"/>
    <col min="9" max="9" width="9.28515625" bestFit="1" customWidth="1"/>
    <col min="10" max="10" width="9.5703125" bestFit="1" customWidth="1"/>
    <col min="11" max="11" width="9.28515625" bestFit="1" customWidth="1"/>
    <col min="12" max="12" width="9.5703125" bestFit="1" customWidth="1"/>
    <col min="13" max="13" width="9.28515625" bestFit="1" customWidth="1"/>
    <col min="14" max="14" width="9.5703125" bestFit="1" customWidth="1"/>
    <col min="15" max="15" width="16.7109375" style="169" customWidth="1"/>
    <col min="16" max="16" width="14.140625" style="61" customWidth="1"/>
  </cols>
  <sheetData>
    <row r="1" spans="1:35" x14ac:dyDescent="0.25">
      <c r="E1" s="482"/>
      <c r="F1" s="483"/>
      <c r="G1" s="483" t="s">
        <v>774</v>
      </c>
      <c r="H1" s="484"/>
      <c r="I1" s="484"/>
      <c r="J1" s="484"/>
      <c r="K1" s="483"/>
      <c r="L1" s="483"/>
      <c r="M1" s="483"/>
      <c r="N1" s="485"/>
      <c r="O1" s="486"/>
      <c r="P1" s="468"/>
    </row>
    <row r="2" spans="1:35" x14ac:dyDescent="0.25">
      <c r="E2" s="487"/>
      <c r="F2" s="488" t="s">
        <v>775</v>
      </c>
      <c r="G2" s="488"/>
      <c r="H2" s="488"/>
      <c r="I2" s="488"/>
      <c r="J2" s="488"/>
      <c r="K2" s="488"/>
      <c r="L2" s="488"/>
      <c r="M2" s="488"/>
      <c r="N2" s="488"/>
      <c r="O2" s="488"/>
      <c r="P2" s="489"/>
    </row>
    <row r="3" spans="1:35" ht="15" customHeight="1" x14ac:dyDescent="0.25">
      <c r="E3" s="490">
        <v>2020</v>
      </c>
      <c r="F3" s="490">
        <v>2020</v>
      </c>
      <c r="G3" s="490">
        <v>2021</v>
      </c>
      <c r="H3" s="490">
        <v>2021</v>
      </c>
      <c r="I3" s="490">
        <v>2022</v>
      </c>
      <c r="J3" s="490">
        <v>2022</v>
      </c>
      <c r="K3" s="490">
        <v>2023</v>
      </c>
      <c r="L3" s="490">
        <v>2023</v>
      </c>
      <c r="M3" s="490">
        <v>2024</v>
      </c>
      <c r="N3" s="490">
        <v>2024</v>
      </c>
      <c r="O3" s="491"/>
      <c r="P3" s="492"/>
    </row>
    <row r="4" spans="1:35" ht="37.5" customHeight="1" x14ac:dyDescent="0.25">
      <c r="A4" s="459" t="s">
        <v>776</v>
      </c>
      <c r="B4" s="148" t="s">
        <v>765</v>
      </c>
      <c r="C4" s="243" t="s">
        <v>202</v>
      </c>
      <c r="D4" s="244" t="s">
        <v>766</v>
      </c>
      <c r="E4" s="460" t="s">
        <v>777</v>
      </c>
      <c r="F4" s="459" t="s">
        <v>778</v>
      </c>
      <c r="G4" s="460" t="s">
        <v>777</v>
      </c>
      <c r="H4" s="459" t="s">
        <v>778</v>
      </c>
      <c r="I4" s="460" t="s">
        <v>777</v>
      </c>
      <c r="J4" s="459" t="s">
        <v>778</v>
      </c>
      <c r="K4" s="460" t="s">
        <v>777</v>
      </c>
      <c r="L4" s="459" t="s">
        <v>778</v>
      </c>
      <c r="M4" s="460" t="s">
        <v>777</v>
      </c>
      <c r="N4" s="466" t="s">
        <v>778</v>
      </c>
      <c r="O4" s="395" t="s">
        <v>714</v>
      </c>
      <c r="P4" s="467" t="s">
        <v>768</v>
      </c>
    </row>
    <row r="5" spans="1:35" x14ac:dyDescent="0.25">
      <c r="A5" s="61" t="s">
        <v>140</v>
      </c>
      <c r="B5" s="61">
        <v>60001</v>
      </c>
      <c r="C5" t="s">
        <v>289</v>
      </c>
      <c r="D5" t="s">
        <v>288</v>
      </c>
      <c r="E5" s="498">
        <v>15643</v>
      </c>
      <c r="F5" s="498">
        <v>44270</v>
      </c>
      <c r="G5" s="498">
        <v>17594</v>
      </c>
      <c r="H5" s="498">
        <v>48457</v>
      </c>
      <c r="I5" s="498">
        <v>15389</v>
      </c>
      <c r="J5" s="498">
        <v>40914</v>
      </c>
      <c r="K5" s="498">
        <v>15997</v>
      </c>
      <c r="L5" s="498">
        <v>39497</v>
      </c>
      <c r="O5" s="165" t="str">
        <f>IF(M5=0,"2021-2023","2022-2024")</f>
        <v>2021-2023</v>
      </c>
      <c r="P5" s="165">
        <f>IF(M5=0,((G5+I5+K5)/(H5+J5+L5)),((I5+K5+M5)/(J5+L5+N5)))</f>
        <v>0.38007884036378309</v>
      </c>
      <c r="T5" s="172"/>
      <c r="AB5" s="62"/>
    </row>
    <row r="6" spans="1:35" x14ac:dyDescent="0.25">
      <c r="A6" s="61" t="s">
        <v>290</v>
      </c>
      <c r="B6" s="61">
        <v>60003</v>
      </c>
      <c r="C6" t="s">
        <v>292</v>
      </c>
      <c r="D6" t="s">
        <v>291</v>
      </c>
      <c r="E6" s="498">
        <v>4445</v>
      </c>
      <c r="F6" s="498">
        <v>16643</v>
      </c>
      <c r="G6" s="498">
        <v>3707</v>
      </c>
      <c r="H6" s="498">
        <v>12941</v>
      </c>
      <c r="I6" s="498">
        <v>2683</v>
      </c>
      <c r="J6" s="498">
        <v>10112</v>
      </c>
      <c r="K6" s="498">
        <v>2168</v>
      </c>
      <c r="L6" s="498">
        <v>8027</v>
      </c>
      <c r="O6" s="165" t="str">
        <f t="shared" ref="O6:O54" si="0">IF(M6=0,"2021-2023","2022-2024")</f>
        <v>2021-2023</v>
      </c>
      <c r="P6" s="165">
        <f t="shared" ref="P6:P54" si="1">IF(M6=0,((G6+I6+K6)/(H6+J6+L6)),((I6+K6+M6)/(J6+L6+N6)))</f>
        <v>0.27535392535392533</v>
      </c>
      <c r="T6" s="172"/>
    </row>
    <row r="7" spans="1:35" x14ac:dyDescent="0.25">
      <c r="A7" s="61" t="s">
        <v>293</v>
      </c>
      <c r="B7" s="61">
        <v>60004</v>
      </c>
      <c r="C7" t="s">
        <v>295</v>
      </c>
      <c r="D7" t="s">
        <v>294</v>
      </c>
      <c r="E7" s="498">
        <v>4255</v>
      </c>
      <c r="F7" s="498">
        <v>12518</v>
      </c>
      <c r="G7" s="498">
        <v>4805</v>
      </c>
      <c r="H7" s="498">
        <v>14489</v>
      </c>
      <c r="I7" s="498">
        <v>4942</v>
      </c>
      <c r="J7" s="498">
        <v>14168</v>
      </c>
      <c r="K7" s="498">
        <v>4519</v>
      </c>
      <c r="L7" s="498">
        <v>12902</v>
      </c>
      <c r="O7" s="165" t="str">
        <f t="shared" si="0"/>
        <v>2021-2023</v>
      </c>
      <c r="P7" s="165">
        <f t="shared" si="1"/>
        <v>0.34327101229577228</v>
      </c>
      <c r="T7" s="172"/>
    </row>
    <row r="8" spans="1:35" x14ac:dyDescent="0.25">
      <c r="A8" s="61" t="s">
        <v>296</v>
      </c>
      <c r="B8" s="61">
        <v>60006</v>
      </c>
      <c r="C8" t="s">
        <v>240</v>
      </c>
      <c r="D8" t="s">
        <v>297</v>
      </c>
      <c r="E8" s="498">
        <v>1714</v>
      </c>
      <c r="F8" s="498">
        <v>9073</v>
      </c>
      <c r="G8" s="498">
        <v>1885</v>
      </c>
      <c r="H8" s="498">
        <v>10257</v>
      </c>
      <c r="I8" s="498">
        <v>1811</v>
      </c>
      <c r="J8" s="498">
        <v>9000</v>
      </c>
      <c r="K8" s="498">
        <v>1715</v>
      </c>
      <c r="L8" s="498">
        <v>8781</v>
      </c>
      <c r="O8" s="167" t="str">
        <f t="shared" si="0"/>
        <v>2021-2023</v>
      </c>
      <c r="P8" s="167">
        <f t="shared" si="1"/>
        <v>0.19298808759540623</v>
      </c>
      <c r="Q8" s="472">
        <f>SUM(K8,I8,G8)</f>
        <v>5411</v>
      </c>
      <c r="R8" s="472">
        <f>SUM(L8,J8,H8)</f>
        <v>28038</v>
      </c>
      <c r="S8" s="223">
        <f>Q8/R8</f>
        <v>0.19298808759540623</v>
      </c>
      <c r="T8" s="6" t="s">
        <v>779</v>
      </c>
      <c r="U8" s="6"/>
      <c r="V8" s="6"/>
      <c r="W8" s="6"/>
      <c r="X8" s="6"/>
    </row>
    <row r="9" spans="1:35" x14ac:dyDescent="0.25">
      <c r="A9" s="61" t="s">
        <v>298</v>
      </c>
      <c r="B9" s="61">
        <v>60008</v>
      </c>
      <c r="C9" t="s">
        <v>300</v>
      </c>
      <c r="D9" t="s">
        <v>299</v>
      </c>
      <c r="E9" s="498">
        <v>2198</v>
      </c>
      <c r="F9" s="498">
        <v>7010</v>
      </c>
      <c r="G9" s="498">
        <v>1749</v>
      </c>
      <c r="H9" s="498">
        <v>6859</v>
      </c>
      <c r="I9" s="498">
        <v>2269</v>
      </c>
      <c r="J9" s="498">
        <v>8197</v>
      </c>
      <c r="K9" s="498">
        <v>1434</v>
      </c>
      <c r="L9" s="498">
        <v>5011</v>
      </c>
      <c r="O9" s="167" t="str">
        <f t="shared" si="0"/>
        <v>2021-2023</v>
      </c>
      <c r="P9" s="167">
        <f t="shared" si="1"/>
        <v>0.27168983903921862</v>
      </c>
      <c r="U9" s="6"/>
      <c r="V9" s="6"/>
      <c r="W9" s="6"/>
      <c r="X9" s="6"/>
    </row>
    <row r="10" spans="1:35" x14ac:dyDescent="0.25">
      <c r="A10" s="61" t="s">
        <v>301</v>
      </c>
      <c r="B10" s="61">
        <v>60009</v>
      </c>
      <c r="C10" t="s">
        <v>295</v>
      </c>
      <c r="D10" t="s">
        <v>302</v>
      </c>
      <c r="E10" s="498">
        <v>18301</v>
      </c>
      <c r="F10" s="498">
        <v>61614</v>
      </c>
      <c r="G10" s="498">
        <v>21780</v>
      </c>
      <c r="H10" s="498">
        <v>75615</v>
      </c>
      <c r="I10" s="498">
        <v>24984</v>
      </c>
      <c r="J10" s="498">
        <v>78986</v>
      </c>
      <c r="K10" s="498">
        <v>29359</v>
      </c>
      <c r="L10" s="498">
        <v>81858</v>
      </c>
      <c r="O10" s="167" t="str">
        <f t="shared" si="0"/>
        <v>2021-2023</v>
      </c>
      <c r="P10" s="167">
        <f t="shared" si="1"/>
        <v>0.32192896020028844</v>
      </c>
      <c r="Q10" s="6"/>
      <c r="R10" s="6"/>
      <c r="S10" s="223"/>
      <c r="T10" s="6"/>
      <c r="U10" s="6"/>
      <c r="V10" s="6"/>
      <c r="W10" s="6"/>
      <c r="X10" s="6"/>
    </row>
    <row r="11" spans="1:35" x14ac:dyDescent="0.25">
      <c r="A11" s="61" t="s">
        <v>142</v>
      </c>
      <c r="B11" s="61">
        <v>60010</v>
      </c>
      <c r="C11" t="s">
        <v>304</v>
      </c>
      <c r="D11" t="s">
        <v>303</v>
      </c>
      <c r="E11" s="498">
        <v>15603</v>
      </c>
      <c r="F11" s="498">
        <v>61149</v>
      </c>
      <c r="G11" s="498">
        <v>19085</v>
      </c>
      <c r="H11" s="498">
        <v>62932</v>
      </c>
      <c r="I11" s="498">
        <v>20037</v>
      </c>
      <c r="J11" s="498">
        <v>70653</v>
      </c>
      <c r="K11" s="498">
        <v>18892</v>
      </c>
      <c r="L11" s="498">
        <v>66764</v>
      </c>
      <c r="O11" s="165" t="str">
        <f t="shared" si="0"/>
        <v>2021-2023</v>
      </c>
      <c r="P11" s="165">
        <f t="shared" si="1"/>
        <v>0.28956470958177977</v>
      </c>
      <c r="Q11" s="166"/>
      <c r="R11" s="166"/>
      <c r="S11" s="173"/>
    </row>
    <row r="12" spans="1:35" x14ac:dyDescent="0.25">
      <c r="A12" s="61" t="s">
        <v>143</v>
      </c>
      <c r="B12" s="61">
        <v>60011</v>
      </c>
      <c r="C12" t="s">
        <v>240</v>
      </c>
      <c r="D12" t="s">
        <v>305</v>
      </c>
      <c r="E12" s="498"/>
      <c r="F12" s="498"/>
      <c r="G12" s="498">
        <v>69126</v>
      </c>
      <c r="H12" s="498">
        <v>128846</v>
      </c>
      <c r="I12" s="498">
        <v>68141</v>
      </c>
      <c r="J12" s="498">
        <v>133796</v>
      </c>
      <c r="K12" s="498">
        <v>66870</v>
      </c>
      <c r="L12" s="498">
        <v>125694</v>
      </c>
      <c r="O12" s="165" t="str">
        <f t="shared" si="0"/>
        <v>2021-2023</v>
      </c>
      <c r="P12" s="165">
        <f t="shared" si="1"/>
        <v>0.52567106835317867</v>
      </c>
      <c r="Q12" s="166"/>
      <c r="R12" s="166"/>
      <c r="S12" s="173"/>
    </row>
    <row r="13" spans="1:35" x14ac:dyDescent="0.25">
      <c r="A13" s="61" t="s">
        <v>144</v>
      </c>
      <c r="B13" s="61">
        <v>60012</v>
      </c>
      <c r="C13" t="s">
        <v>292</v>
      </c>
      <c r="D13" t="s">
        <v>306</v>
      </c>
      <c r="E13" s="498">
        <v>2062</v>
      </c>
      <c r="F13" s="498">
        <v>7596</v>
      </c>
      <c r="G13" s="498">
        <v>1882</v>
      </c>
      <c r="H13" s="498">
        <v>7405</v>
      </c>
      <c r="I13" s="498">
        <v>2732</v>
      </c>
      <c r="J13" s="498">
        <v>9642</v>
      </c>
      <c r="K13" s="498">
        <v>2180</v>
      </c>
      <c r="L13" s="498">
        <v>7833</v>
      </c>
      <c r="O13" s="165" t="str">
        <f t="shared" si="0"/>
        <v>2021-2023</v>
      </c>
      <c r="P13" s="165">
        <f t="shared" si="1"/>
        <v>0.27307073954983924</v>
      </c>
      <c r="Q13" s="166"/>
      <c r="R13" s="166"/>
      <c r="S13" s="173"/>
    </row>
    <row r="14" spans="1:35" x14ac:dyDescent="0.25">
      <c r="A14" s="61" t="s">
        <v>307</v>
      </c>
      <c r="B14" s="61">
        <v>60013</v>
      </c>
      <c r="C14" t="s">
        <v>292</v>
      </c>
      <c r="D14" t="s">
        <v>308</v>
      </c>
      <c r="E14" s="498">
        <v>4350</v>
      </c>
      <c r="F14" s="498">
        <v>15314</v>
      </c>
      <c r="G14" s="498">
        <v>5163</v>
      </c>
      <c r="H14" s="498">
        <v>17642</v>
      </c>
      <c r="I14" s="498">
        <v>5737</v>
      </c>
      <c r="J14" s="498">
        <v>20366</v>
      </c>
      <c r="K14" s="498">
        <v>5212</v>
      </c>
      <c r="L14" s="498">
        <v>18516</v>
      </c>
      <c r="O14" s="165" t="str">
        <f t="shared" si="0"/>
        <v>2021-2023</v>
      </c>
      <c r="P14" s="165">
        <f t="shared" si="1"/>
        <v>0.2850470596560753</v>
      </c>
      <c r="Q14" s="166"/>
      <c r="R14" s="166"/>
      <c r="S14" s="173"/>
    </row>
    <row r="15" spans="1:35" x14ac:dyDescent="0.25">
      <c r="A15" s="61" t="s">
        <v>145</v>
      </c>
      <c r="B15" s="61">
        <v>60014</v>
      </c>
      <c r="C15" t="s">
        <v>310</v>
      </c>
      <c r="D15" t="s">
        <v>309</v>
      </c>
      <c r="E15" s="498">
        <v>37032</v>
      </c>
      <c r="F15" s="498">
        <v>79869</v>
      </c>
      <c r="G15" s="498">
        <v>35274</v>
      </c>
      <c r="H15" s="498">
        <v>81407</v>
      </c>
      <c r="I15" s="498">
        <v>33528</v>
      </c>
      <c r="J15" s="498">
        <v>83760</v>
      </c>
      <c r="K15" s="498">
        <v>36531</v>
      </c>
      <c r="L15" s="498">
        <v>82369</v>
      </c>
      <c r="O15" s="165" t="str">
        <f t="shared" si="0"/>
        <v>2021-2023</v>
      </c>
      <c r="P15" s="165">
        <f t="shared" si="1"/>
        <v>0.42552598409928255</v>
      </c>
      <c r="Q15" s="166"/>
      <c r="R15" s="166"/>
      <c r="S15" s="173"/>
    </row>
    <row r="16" spans="1:35" x14ac:dyDescent="0.25">
      <c r="A16" s="61" t="s">
        <v>146</v>
      </c>
      <c r="B16" s="61">
        <v>60015</v>
      </c>
      <c r="C16" t="s">
        <v>292</v>
      </c>
      <c r="D16" t="s">
        <v>311</v>
      </c>
      <c r="E16" s="498">
        <v>13702</v>
      </c>
      <c r="F16" s="498">
        <v>62452</v>
      </c>
      <c r="G16" s="498">
        <v>15538</v>
      </c>
      <c r="H16" s="498">
        <v>69308</v>
      </c>
      <c r="I16" s="498">
        <v>17030</v>
      </c>
      <c r="J16" s="498">
        <v>74792</v>
      </c>
      <c r="K16" s="498">
        <v>14059</v>
      </c>
      <c r="L16" s="498">
        <v>71154</v>
      </c>
      <c r="O16" s="165" t="str">
        <f t="shared" si="0"/>
        <v>2021-2023</v>
      </c>
      <c r="P16" s="165">
        <f t="shared" si="1"/>
        <v>0.2166138608341773</v>
      </c>
      <c r="Q16" s="166"/>
      <c r="R16" s="166"/>
      <c r="S16" s="173"/>
      <c r="W16" s="6"/>
      <c r="X16" s="6"/>
      <c r="Y16" s="6"/>
      <c r="Z16" s="6"/>
      <c r="AA16" s="6"/>
      <c r="AB16" s="6"/>
      <c r="AC16" s="6"/>
      <c r="AD16" s="6"/>
      <c r="AE16" s="6"/>
      <c r="AF16" s="6"/>
      <c r="AG16" s="6"/>
      <c r="AH16" s="6"/>
      <c r="AI16" s="6"/>
    </row>
    <row r="17" spans="1:35" s="6" customFormat="1" x14ac:dyDescent="0.25">
      <c r="A17" s="103" t="s">
        <v>147</v>
      </c>
      <c r="B17" s="103">
        <v>60020</v>
      </c>
      <c r="C17" s="6" t="s">
        <v>304</v>
      </c>
      <c r="D17" s="6" t="s">
        <v>312</v>
      </c>
      <c r="E17" s="498">
        <v>23754</v>
      </c>
      <c r="F17" s="498">
        <v>77869</v>
      </c>
      <c r="G17" s="498">
        <v>25240</v>
      </c>
      <c r="H17" s="498">
        <v>83667</v>
      </c>
      <c r="I17" s="498">
        <v>24390</v>
      </c>
      <c r="J17" s="498">
        <v>80260</v>
      </c>
      <c r="K17" s="498">
        <v>22216</v>
      </c>
      <c r="L17" s="498">
        <v>71330</v>
      </c>
      <c r="M17"/>
      <c r="N17"/>
      <c r="O17" s="165" t="str">
        <f t="shared" si="0"/>
        <v>2021-2023</v>
      </c>
      <c r="P17" s="165">
        <f t="shared" si="1"/>
        <v>0.30539367585236571</v>
      </c>
      <c r="S17" s="223"/>
      <c r="W17"/>
      <c r="X17"/>
      <c r="Y17"/>
      <c r="Z17"/>
      <c r="AA17"/>
      <c r="AB17"/>
      <c r="AC17"/>
      <c r="AD17"/>
      <c r="AE17"/>
      <c r="AF17"/>
      <c r="AG17"/>
      <c r="AH17"/>
      <c r="AI17"/>
    </row>
    <row r="18" spans="1:35" x14ac:dyDescent="0.25">
      <c r="A18" s="61" t="s">
        <v>148</v>
      </c>
      <c r="B18" s="61">
        <v>60022</v>
      </c>
      <c r="C18" t="s">
        <v>304</v>
      </c>
      <c r="D18" t="s">
        <v>313</v>
      </c>
      <c r="E18" s="498">
        <v>35882</v>
      </c>
      <c r="F18" s="498">
        <v>115081</v>
      </c>
      <c r="G18" s="498">
        <v>39817</v>
      </c>
      <c r="H18" s="498">
        <v>127565</v>
      </c>
      <c r="I18" s="498">
        <v>42957</v>
      </c>
      <c r="J18" s="498">
        <v>143873</v>
      </c>
      <c r="K18" s="498">
        <v>45439</v>
      </c>
      <c r="L18" s="498">
        <v>146780</v>
      </c>
      <c r="O18" s="165" t="str">
        <f t="shared" si="0"/>
        <v>2021-2023</v>
      </c>
      <c r="P18" s="165">
        <f t="shared" si="1"/>
        <v>0.30656977939734781</v>
      </c>
      <c r="Q18" s="166"/>
      <c r="R18" s="166"/>
      <c r="S18" s="173"/>
    </row>
    <row r="19" spans="1:35" x14ac:dyDescent="0.25">
      <c r="A19" s="61" t="s">
        <v>149</v>
      </c>
      <c r="B19" s="61">
        <v>60023</v>
      </c>
      <c r="C19" t="s">
        <v>295</v>
      </c>
      <c r="D19" t="s">
        <v>314</v>
      </c>
      <c r="E19" s="498">
        <v>17672</v>
      </c>
      <c r="F19" s="498">
        <v>62035</v>
      </c>
      <c r="G19" s="498">
        <v>17747</v>
      </c>
      <c r="H19" s="498">
        <v>67073</v>
      </c>
      <c r="I19" s="498">
        <v>17402</v>
      </c>
      <c r="J19" s="498">
        <v>63271</v>
      </c>
      <c r="K19" s="498">
        <v>16988</v>
      </c>
      <c r="L19" s="498">
        <v>63890</v>
      </c>
      <c r="O19" s="165" t="str">
        <f t="shared" si="0"/>
        <v>2021-2023</v>
      </c>
      <c r="P19" s="165">
        <f t="shared" si="1"/>
        <v>0.26842365394318196</v>
      </c>
      <c r="Q19" s="166"/>
      <c r="R19" s="166"/>
      <c r="S19" s="173"/>
    </row>
    <row r="20" spans="1:35" x14ac:dyDescent="0.25">
      <c r="A20" s="61" t="s">
        <v>150</v>
      </c>
      <c r="B20" s="61">
        <v>60024</v>
      </c>
      <c r="C20" t="s">
        <v>304</v>
      </c>
      <c r="D20" t="s">
        <v>315</v>
      </c>
      <c r="E20" s="498">
        <v>66191</v>
      </c>
      <c r="F20" s="498">
        <v>208076</v>
      </c>
      <c r="G20" s="498">
        <v>78502</v>
      </c>
      <c r="H20" s="498">
        <v>220362</v>
      </c>
      <c r="I20" s="498">
        <v>80315</v>
      </c>
      <c r="J20" s="498">
        <v>232481</v>
      </c>
      <c r="K20" s="498">
        <v>83792</v>
      </c>
      <c r="L20" s="498">
        <v>233880</v>
      </c>
      <c r="O20" s="165" t="str">
        <f t="shared" si="0"/>
        <v>2021-2023</v>
      </c>
      <c r="P20" s="165">
        <f t="shared" si="1"/>
        <v>0.35328509457233848</v>
      </c>
      <c r="Q20" s="166"/>
      <c r="R20" s="166"/>
      <c r="S20" s="173"/>
    </row>
    <row r="21" spans="1:35" x14ac:dyDescent="0.25">
      <c r="A21" s="61" t="s">
        <v>316</v>
      </c>
      <c r="B21" s="61">
        <v>60027</v>
      </c>
      <c r="C21" t="s">
        <v>240</v>
      </c>
      <c r="D21" t="s">
        <v>317</v>
      </c>
      <c r="E21" s="498">
        <v>5553</v>
      </c>
      <c r="F21" s="498">
        <v>31020</v>
      </c>
      <c r="G21" s="498">
        <v>6746</v>
      </c>
      <c r="H21" s="498">
        <v>32999</v>
      </c>
      <c r="I21" s="498">
        <v>7072</v>
      </c>
      <c r="J21" s="498">
        <v>34783</v>
      </c>
      <c r="K21" s="498">
        <v>6995</v>
      </c>
      <c r="L21" s="498">
        <v>33549</v>
      </c>
      <c r="O21" s="165" t="str">
        <f t="shared" si="0"/>
        <v>2021-2023</v>
      </c>
      <c r="P21" s="165">
        <f t="shared" si="1"/>
        <v>0.20539617688565198</v>
      </c>
      <c r="Q21" s="166"/>
      <c r="R21" s="166"/>
      <c r="S21" s="173"/>
    </row>
    <row r="22" spans="1:35" x14ac:dyDescent="0.25">
      <c r="A22" s="61" t="s">
        <v>151</v>
      </c>
      <c r="B22" s="61">
        <v>60028</v>
      </c>
      <c r="C22" t="s">
        <v>295</v>
      </c>
      <c r="D22" t="s">
        <v>318</v>
      </c>
      <c r="E22" s="498">
        <v>21767</v>
      </c>
      <c r="F22" s="498">
        <v>82118</v>
      </c>
      <c r="G22" s="498">
        <v>25347</v>
      </c>
      <c r="H22" s="498">
        <v>88012</v>
      </c>
      <c r="I22" s="498">
        <v>27826</v>
      </c>
      <c r="J22" s="498">
        <v>82969</v>
      </c>
      <c r="K22" s="498">
        <v>26258</v>
      </c>
      <c r="L22" s="498">
        <v>79140</v>
      </c>
      <c r="O22" s="165" t="str">
        <f t="shared" si="0"/>
        <v>2021-2023</v>
      </c>
      <c r="P22" s="165">
        <f t="shared" si="1"/>
        <v>0.31757029597674724</v>
      </c>
      <c r="Q22" s="166"/>
      <c r="R22" s="166"/>
      <c r="S22" s="173"/>
    </row>
    <row r="23" spans="1:35" x14ac:dyDescent="0.25">
      <c r="A23" s="61" t="s">
        <v>319</v>
      </c>
      <c r="B23" s="61">
        <v>60030</v>
      </c>
      <c r="C23" t="s">
        <v>289</v>
      </c>
      <c r="D23" t="s">
        <v>320</v>
      </c>
      <c r="E23" s="498">
        <v>2538</v>
      </c>
      <c r="F23" s="498">
        <v>11953</v>
      </c>
      <c r="G23" s="498">
        <v>2884</v>
      </c>
      <c r="H23" s="498">
        <v>13818</v>
      </c>
      <c r="I23" s="498">
        <v>1860</v>
      </c>
      <c r="J23" s="498">
        <v>10707</v>
      </c>
      <c r="K23" s="498">
        <v>1526</v>
      </c>
      <c r="L23" s="498">
        <v>12346</v>
      </c>
      <c r="O23" s="165" t="str">
        <f t="shared" si="0"/>
        <v>2021-2023</v>
      </c>
      <c r="P23" s="165">
        <f t="shared" si="1"/>
        <v>0.1700523446611158</v>
      </c>
      <c r="Q23" s="166"/>
      <c r="R23" s="166"/>
      <c r="S23" s="173"/>
    </row>
    <row r="24" spans="1:35" x14ac:dyDescent="0.25">
      <c r="A24" s="61" t="s">
        <v>152</v>
      </c>
      <c r="B24" s="61">
        <v>60031</v>
      </c>
      <c r="C24" t="s">
        <v>292</v>
      </c>
      <c r="D24" t="s">
        <v>321</v>
      </c>
      <c r="E24" s="498">
        <v>28928</v>
      </c>
      <c r="F24" s="498">
        <v>111845</v>
      </c>
      <c r="G24" s="498">
        <v>31437</v>
      </c>
      <c r="H24" s="498">
        <v>121379</v>
      </c>
      <c r="I24" s="498">
        <v>34654</v>
      </c>
      <c r="J24" s="498">
        <v>130643</v>
      </c>
      <c r="K24" s="498">
        <v>33733</v>
      </c>
      <c r="L24" s="498">
        <v>125242</v>
      </c>
      <c r="O24" s="165" t="str">
        <f t="shared" si="0"/>
        <v>2021-2023</v>
      </c>
      <c r="P24" s="165">
        <f t="shared" si="1"/>
        <v>0.26459985580389328</v>
      </c>
      <c r="Q24" s="166"/>
      <c r="R24" s="166"/>
      <c r="S24" s="173"/>
    </row>
    <row r="25" spans="1:35" x14ac:dyDescent="0.25">
      <c r="A25" s="61" t="s">
        <v>153</v>
      </c>
      <c r="B25" s="61">
        <v>60032</v>
      </c>
      <c r="C25" t="s">
        <v>310</v>
      </c>
      <c r="D25" t="s">
        <v>322</v>
      </c>
      <c r="E25" s="498"/>
      <c r="F25" s="498"/>
      <c r="G25" s="498">
        <v>12823</v>
      </c>
      <c r="H25" s="498">
        <v>50608</v>
      </c>
      <c r="I25" s="498">
        <v>13208</v>
      </c>
      <c r="J25" s="498">
        <v>50112</v>
      </c>
      <c r="K25" s="498">
        <v>11328</v>
      </c>
      <c r="L25" s="498">
        <v>45407</v>
      </c>
      <c r="O25" s="165" t="str">
        <f t="shared" si="0"/>
        <v>2021-2023</v>
      </c>
      <c r="P25" s="165">
        <f t="shared" si="1"/>
        <v>0.25566117144675521</v>
      </c>
      <c r="Q25" s="166"/>
      <c r="R25" s="166"/>
      <c r="S25" s="173"/>
    </row>
    <row r="26" spans="1:35" x14ac:dyDescent="0.25">
      <c r="A26" s="61" t="s">
        <v>154</v>
      </c>
      <c r="B26" s="61">
        <v>60034</v>
      </c>
      <c r="C26" t="s">
        <v>310</v>
      </c>
      <c r="D26" t="s">
        <v>323</v>
      </c>
      <c r="E26" s="498">
        <v>25461</v>
      </c>
      <c r="F26" s="498">
        <v>107478</v>
      </c>
      <c r="G26" s="498">
        <v>29182</v>
      </c>
      <c r="H26" s="498">
        <v>117213</v>
      </c>
      <c r="I26" s="498">
        <v>32255</v>
      </c>
      <c r="J26" s="498">
        <v>117233</v>
      </c>
      <c r="K26" s="498">
        <v>27605</v>
      </c>
      <c r="L26" s="498">
        <v>109264</v>
      </c>
      <c r="O26" s="165" t="str">
        <f t="shared" si="0"/>
        <v>2021-2023</v>
      </c>
      <c r="P26" s="165">
        <f>IF(M26=0,((G26+I26+K26)/(H26+J26+L26)),((I26+K26+M26)/(J26+L26+N26)))</f>
        <v>0.25906141805591926</v>
      </c>
      <c r="Q26" s="166"/>
      <c r="R26" s="166"/>
      <c r="S26" s="173"/>
    </row>
    <row r="27" spans="1:35" x14ac:dyDescent="0.25">
      <c r="A27" s="103" t="s">
        <v>324</v>
      </c>
      <c r="B27" s="103">
        <v>60044</v>
      </c>
      <c r="C27" t="s">
        <v>292</v>
      </c>
      <c r="D27" s="6" t="s">
        <v>325</v>
      </c>
      <c r="E27" s="472">
        <v>962</v>
      </c>
      <c r="F27" s="472">
        <v>5901</v>
      </c>
      <c r="G27" s="472">
        <v>932</v>
      </c>
      <c r="H27" s="472">
        <v>4553</v>
      </c>
      <c r="I27" s="472"/>
      <c r="J27" s="472"/>
      <c r="K27" s="472">
        <v>956</v>
      </c>
      <c r="L27" s="472">
        <v>2645</v>
      </c>
      <c r="M27" s="62"/>
      <c r="N27" s="62"/>
      <c r="O27" s="165" t="s">
        <v>770</v>
      </c>
      <c r="P27" s="165">
        <f>(E27+G27+K27)/(F27+H27+L27)</f>
        <v>0.2175738606000458</v>
      </c>
      <c r="Q27" s="6" t="s">
        <v>771</v>
      </c>
    </row>
    <row r="28" spans="1:35" x14ac:dyDescent="0.25">
      <c r="A28" s="103" t="s">
        <v>326</v>
      </c>
      <c r="B28" s="103">
        <v>60049</v>
      </c>
      <c r="C28" t="s">
        <v>304</v>
      </c>
      <c r="D28" s="6" t="s">
        <v>327</v>
      </c>
      <c r="E28" s="498">
        <v>829</v>
      </c>
      <c r="F28" s="498">
        <v>3642</v>
      </c>
      <c r="G28" s="498">
        <v>923</v>
      </c>
      <c r="H28" s="498">
        <v>3299</v>
      </c>
      <c r="I28" s="498">
        <v>1012</v>
      </c>
      <c r="J28" s="498">
        <v>3655</v>
      </c>
      <c r="K28" s="498">
        <v>968</v>
      </c>
      <c r="L28" s="498">
        <v>3848</v>
      </c>
      <c r="O28" s="165" t="str">
        <f t="shared" si="0"/>
        <v>2021-2023</v>
      </c>
      <c r="P28" s="165">
        <f t="shared" si="1"/>
        <v>0.26874652842066282</v>
      </c>
      <c r="Q28" s="62"/>
    </row>
    <row r="29" spans="1:35" x14ac:dyDescent="0.25">
      <c r="A29" s="103" t="s">
        <v>328</v>
      </c>
      <c r="B29" s="103">
        <v>60054</v>
      </c>
      <c r="C29" t="s">
        <v>240</v>
      </c>
      <c r="D29" s="6" t="s">
        <v>329</v>
      </c>
      <c r="E29" s="498">
        <v>2146</v>
      </c>
      <c r="F29" s="498">
        <v>7257</v>
      </c>
      <c r="G29" s="498">
        <v>2041</v>
      </c>
      <c r="H29" s="498">
        <v>9994</v>
      </c>
      <c r="I29" s="498">
        <v>2536</v>
      </c>
      <c r="J29" s="498">
        <v>8639</v>
      </c>
      <c r="K29" s="498">
        <v>2447</v>
      </c>
      <c r="L29" s="498">
        <v>7226</v>
      </c>
      <c r="O29" s="165" t="str">
        <f t="shared" si="0"/>
        <v>2021-2023</v>
      </c>
      <c r="P29" s="165">
        <f t="shared" si="1"/>
        <v>0.27162689972543408</v>
      </c>
    </row>
    <row r="30" spans="1:35" x14ac:dyDescent="0.25">
      <c r="A30" s="61" t="s">
        <v>330</v>
      </c>
      <c r="B30" s="61">
        <v>60064</v>
      </c>
      <c r="C30" t="s">
        <v>332</v>
      </c>
      <c r="D30" t="s">
        <v>331</v>
      </c>
      <c r="E30" s="498">
        <v>7111</v>
      </c>
      <c r="F30" s="498">
        <v>39412</v>
      </c>
      <c r="G30" s="498">
        <v>9345</v>
      </c>
      <c r="H30" s="498">
        <v>44799</v>
      </c>
      <c r="I30" s="498">
        <v>8146</v>
      </c>
      <c r="J30" s="498">
        <v>43286</v>
      </c>
      <c r="K30" s="498">
        <v>7532</v>
      </c>
      <c r="L30" s="498">
        <v>41349</v>
      </c>
      <c r="O30" s="165" t="str">
        <f t="shared" si="0"/>
        <v>2021-2023</v>
      </c>
      <c r="P30" s="165">
        <f t="shared" si="1"/>
        <v>0.19332632847628908</v>
      </c>
    </row>
    <row r="31" spans="1:35" x14ac:dyDescent="0.25">
      <c r="A31" s="61" t="s">
        <v>155</v>
      </c>
      <c r="B31" s="61">
        <v>60065</v>
      </c>
      <c r="C31" t="s">
        <v>310</v>
      </c>
      <c r="D31" t="s">
        <v>333</v>
      </c>
      <c r="E31" s="498">
        <v>13801</v>
      </c>
      <c r="F31" s="498">
        <v>35115</v>
      </c>
      <c r="G31" s="498">
        <v>14202</v>
      </c>
      <c r="H31" s="498">
        <v>35464</v>
      </c>
      <c r="I31" s="498">
        <v>13165</v>
      </c>
      <c r="J31" s="498">
        <v>31463</v>
      </c>
      <c r="K31" s="498">
        <v>11520</v>
      </c>
      <c r="L31" s="498">
        <v>31170</v>
      </c>
      <c r="O31" s="165" t="str">
        <f t="shared" si="0"/>
        <v>2021-2023</v>
      </c>
      <c r="P31" s="165">
        <f t="shared" si="1"/>
        <v>0.39641375373354942</v>
      </c>
    </row>
    <row r="32" spans="1:35" x14ac:dyDescent="0.25">
      <c r="A32" s="61" t="s">
        <v>334</v>
      </c>
      <c r="B32" s="61">
        <v>60071</v>
      </c>
      <c r="C32" t="s">
        <v>240</v>
      </c>
      <c r="D32" t="s">
        <v>335</v>
      </c>
      <c r="E32" s="498">
        <v>906</v>
      </c>
      <c r="F32" s="498">
        <v>5267</v>
      </c>
      <c r="G32" s="498">
        <v>1249</v>
      </c>
      <c r="H32" s="498">
        <v>5840</v>
      </c>
      <c r="I32" s="498">
        <v>1111</v>
      </c>
      <c r="J32" s="498">
        <v>5441</v>
      </c>
      <c r="K32" s="498">
        <v>917</v>
      </c>
      <c r="L32" s="498">
        <v>4892</v>
      </c>
      <c r="O32" s="165" t="str">
        <f t="shared" si="0"/>
        <v>2021-2023</v>
      </c>
      <c r="P32" s="165">
        <f t="shared" si="1"/>
        <v>0.20262165337290547</v>
      </c>
    </row>
    <row r="33" spans="1:16" x14ac:dyDescent="0.25">
      <c r="A33" s="61" t="s">
        <v>336</v>
      </c>
      <c r="B33" s="61">
        <v>60075</v>
      </c>
      <c r="C33" t="s">
        <v>240</v>
      </c>
      <c r="D33" t="s">
        <v>337</v>
      </c>
      <c r="E33" s="498">
        <v>4039</v>
      </c>
      <c r="F33" s="498">
        <v>11360</v>
      </c>
      <c r="G33" s="498">
        <v>4541</v>
      </c>
      <c r="H33" s="498">
        <v>12573</v>
      </c>
      <c r="I33" s="498">
        <v>3184</v>
      </c>
      <c r="J33" s="498">
        <v>12226</v>
      </c>
      <c r="K33" s="498">
        <v>2977</v>
      </c>
      <c r="L33" s="498">
        <v>11802</v>
      </c>
      <c r="O33" s="165" t="str">
        <f t="shared" si="0"/>
        <v>2021-2023</v>
      </c>
      <c r="P33" s="165">
        <f t="shared" si="1"/>
        <v>0.29239638261249695</v>
      </c>
    </row>
    <row r="34" spans="1:16" x14ac:dyDescent="0.25">
      <c r="A34" s="61" t="s">
        <v>338</v>
      </c>
      <c r="B34" s="61">
        <v>60076</v>
      </c>
      <c r="C34" t="s">
        <v>289</v>
      </c>
      <c r="D34" t="s">
        <v>339</v>
      </c>
      <c r="E34" s="498">
        <v>917</v>
      </c>
      <c r="F34" s="498">
        <v>3072</v>
      </c>
      <c r="G34" s="498">
        <v>814</v>
      </c>
      <c r="H34" s="498">
        <v>3553</v>
      </c>
      <c r="I34" s="498">
        <v>926</v>
      </c>
      <c r="J34" s="498">
        <v>2884</v>
      </c>
      <c r="K34" s="498">
        <v>736</v>
      </c>
      <c r="L34" s="498">
        <v>2656</v>
      </c>
      <c r="O34" s="165" t="str">
        <f t="shared" si="0"/>
        <v>2021-2023</v>
      </c>
      <c r="P34" s="165">
        <f t="shared" si="1"/>
        <v>0.27229737160453094</v>
      </c>
    </row>
    <row r="35" spans="1:16" x14ac:dyDescent="0.25">
      <c r="A35" s="61" t="s">
        <v>340</v>
      </c>
      <c r="B35" s="61">
        <v>60096</v>
      </c>
      <c r="C35" t="s">
        <v>240</v>
      </c>
      <c r="D35" t="s">
        <v>341</v>
      </c>
      <c r="E35" s="498">
        <v>631</v>
      </c>
      <c r="F35" s="498">
        <v>4422</v>
      </c>
      <c r="G35" s="498">
        <v>815</v>
      </c>
      <c r="H35" s="498">
        <v>5756</v>
      </c>
      <c r="I35" s="498">
        <v>968</v>
      </c>
      <c r="J35" s="498">
        <v>5513</v>
      </c>
      <c r="K35" s="498">
        <v>925</v>
      </c>
      <c r="L35" s="498">
        <v>5249</v>
      </c>
      <c r="O35" s="165" t="str">
        <f t="shared" si="0"/>
        <v>2021-2023</v>
      </c>
      <c r="P35" s="165">
        <f t="shared" si="1"/>
        <v>0.16394236590386246</v>
      </c>
    </row>
    <row r="36" spans="1:16" x14ac:dyDescent="0.25">
      <c r="A36" s="61" t="s">
        <v>156</v>
      </c>
      <c r="B36" s="61">
        <v>60100</v>
      </c>
      <c r="C36" t="s">
        <v>310</v>
      </c>
      <c r="D36" t="s">
        <v>342</v>
      </c>
      <c r="E36" s="498">
        <v>29218</v>
      </c>
      <c r="F36" s="498">
        <v>89619</v>
      </c>
      <c r="G36" s="498">
        <v>30970</v>
      </c>
      <c r="H36" s="498">
        <v>96801</v>
      </c>
      <c r="I36" s="498">
        <v>30231</v>
      </c>
      <c r="J36" s="498">
        <v>92316</v>
      </c>
      <c r="K36" s="498">
        <v>29098</v>
      </c>
      <c r="L36" s="498">
        <v>91385</v>
      </c>
      <c r="O36" s="165" t="str">
        <f t="shared" si="0"/>
        <v>2021-2023</v>
      </c>
      <c r="P36" s="165">
        <f t="shared" si="1"/>
        <v>0.32191927330286413</v>
      </c>
    </row>
    <row r="37" spans="1:16" x14ac:dyDescent="0.25">
      <c r="A37" s="61" t="s">
        <v>343</v>
      </c>
      <c r="B37" s="61">
        <v>60103</v>
      </c>
      <c r="C37" t="s">
        <v>332</v>
      </c>
      <c r="D37" t="s">
        <v>344</v>
      </c>
      <c r="E37" s="498">
        <v>5322</v>
      </c>
      <c r="F37" s="498">
        <v>15365</v>
      </c>
      <c r="G37" s="498">
        <v>5443</v>
      </c>
      <c r="H37" s="498">
        <v>16274</v>
      </c>
      <c r="I37" s="498">
        <v>4987</v>
      </c>
      <c r="J37" s="498">
        <v>15863</v>
      </c>
      <c r="K37" s="498">
        <v>5744</v>
      </c>
      <c r="L37" s="498">
        <v>15242</v>
      </c>
      <c r="O37" s="165" t="str">
        <f t="shared" si="0"/>
        <v>2021-2023</v>
      </c>
      <c r="P37" s="165">
        <f t="shared" si="1"/>
        <v>0.34137487072331624</v>
      </c>
    </row>
    <row r="38" spans="1:16" x14ac:dyDescent="0.25">
      <c r="A38" s="61" t="s">
        <v>157</v>
      </c>
      <c r="B38" s="61">
        <v>60104</v>
      </c>
      <c r="C38" t="s">
        <v>292</v>
      </c>
      <c r="D38" t="s">
        <v>345</v>
      </c>
      <c r="E38" s="498">
        <v>5413</v>
      </c>
      <c r="F38" s="498">
        <v>21239</v>
      </c>
      <c r="G38" s="498">
        <v>6682</v>
      </c>
      <c r="H38" s="498">
        <v>25922</v>
      </c>
      <c r="I38" s="498">
        <v>9006</v>
      </c>
      <c r="J38" s="498">
        <v>29816</v>
      </c>
      <c r="K38" s="498">
        <v>8851</v>
      </c>
      <c r="L38" s="498">
        <v>27639</v>
      </c>
      <c r="O38" s="165" t="str">
        <f t="shared" si="0"/>
        <v>2021-2023</v>
      </c>
      <c r="P38" s="165">
        <f t="shared" si="1"/>
        <v>0.29431377957950033</v>
      </c>
    </row>
    <row r="39" spans="1:16" x14ac:dyDescent="0.25">
      <c r="A39" s="61" t="s">
        <v>158</v>
      </c>
      <c r="B39" s="61">
        <v>60107</v>
      </c>
      <c r="C39" t="s">
        <v>240</v>
      </c>
      <c r="D39" t="s">
        <v>346</v>
      </c>
      <c r="E39" s="498">
        <v>99</v>
      </c>
      <c r="F39" s="498">
        <v>449</v>
      </c>
      <c r="G39" s="498">
        <v>28</v>
      </c>
      <c r="H39" s="498">
        <v>427</v>
      </c>
      <c r="I39" s="498">
        <v>72</v>
      </c>
      <c r="J39" s="498">
        <v>436</v>
      </c>
      <c r="K39" s="498">
        <v>63</v>
      </c>
      <c r="L39" s="498">
        <v>491</v>
      </c>
      <c r="O39" s="165" t="str">
        <f t="shared" si="0"/>
        <v>2021-2023</v>
      </c>
      <c r="P39" s="165">
        <f t="shared" si="1"/>
        <v>0.12038404726735598</v>
      </c>
    </row>
    <row r="40" spans="1:16" x14ac:dyDescent="0.25">
      <c r="A40" s="61" t="s">
        <v>159</v>
      </c>
      <c r="B40" s="61">
        <v>60112</v>
      </c>
      <c r="C40" t="s">
        <v>310</v>
      </c>
      <c r="D40" t="s">
        <v>347</v>
      </c>
      <c r="E40" s="498">
        <v>7042</v>
      </c>
      <c r="F40" s="498">
        <v>57569</v>
      </c>
      <c r="G40" s="498">
        <v>7931</v>
      </c>
      <c r="H40" s="498">
        <v>61715</v>
      </c>
      <c r="I40" s="498">
        <v>10078</v>
      </c>
      <c r="J40" s="498">
        <v>67143</v>
      </c>
      <c r="K40" s="498">
        <v>9123</v>
      </c>
      <c r="L40" s="498">
        <v>64447</v>
      </c>
      <c r="O40" s="165" t="str">
        <f t="shared" si="0"/>
        <v>2021-2023</v>
      </c>
      <c r="P40" s="165">
        <f t="shared" si="1"/>
        <v>0.14035850081477458</v>
      </c>
    </row>
    <row r="41" spans="1:16" x14ac:dyDescent="0.25">
      <c r="A41" s="61" t="s">
        <v>348</v>
      </c>
      <c r="B41" s="61">
        <v>60113</v>
      </c>
      <c r="C41" t="s">
        <v>332</v>
      </c>
      <c r="D41" t="s">
        <v>349</v>
      </c>
      <c r="E41" s="498">
        <v>5854</v>
      </c>
      <c r="F41" s="498">
        <v>40413</v>
      </c>
      <c r="G41" s="498">
        <v>6975</v>
      </c>
      <c r="H41" s="498">
        <v>42295</v>
      </c>
      <c r="I41" s="498">
        <v>7089</v>
      </c>
      <c r="J41" s="498">
        <v>41640</v>
      </c>
      <c r="K41" s="498">
        <v>7337</v>
      </c>
      <c r="L41" s="498">
        <v>42527</v>
      </c>
      <c r="O41" s="165" t="str">
        <f t="shared" si="0"/>
        <v>2021-2023</v>
      </c>
      <c r="P41" s="165">
        <f t="shared" si="1"/>
        <v>0.16922870111179644</v>
      </c>
    </row>
    <row r="42" spans="1:16" x14ac:dyDescent="0.25">
      <c r="A42" s="61" t="s">
        <v>350</v>
      </c>
      <c r="B42" s="61">
        <v>60114</v>
      </c>
      <c r="C42" t="s">
        <v>332</v>
      </c>
      <c r="D42" t="s">
        <v>351</v>
      </c>
      <c r="E42" s="498">
        <v>5605</v>
      </c>
      <c r="F42" s="498">
        <v>33121</v>
      </c>
      <c r="G42" s="498">
        <v>6650</v>
      </c>
      <c r="H42" s="498">
        <v>37063</v>
      </c>
      <c r="I42" s="498">
        <v>6917</v>
      </c>
      <c r="J42" s="498">
        <v>36705</v>
      </c>
      <c r="K42" s="498">
        <v>7227</v>
      </c>
      <c r="L42" s="498">
        <v>35770</v>
      </c>
      <c r="O42" s="165" t="str">
        <f t="shared" si="0"/>
        <v>2021-2023</v>
      </c>
      <c r="P42" s="165">
        <f t="shared" si="1"/>
        <v>0.18983366502948748</v>
      </c>
    </row>
    <row r="43" spans="1:16" x14ac:dyDescent="0.25">
      <c r="A43" s="61" t="s">
        <v>352</v>
      </c>
      <c r="B43" s="61">
        <v>60116</v>
      </c>
      <c r="C43" t="s">
        <v>295</v>
      </c>
      <c r="D43" t="s">
        <v>353</v>
      </c>
      <c r="E43" s="498">
        <v>6602</v>
      </c>
      <c r="F43" s="498">
        <v>45249</v>
      </c>
      <c r="G43" s="498">
        <v>7585</v>
      </c>
      <c r="H43" s="498">
        <v>52102</v>
      </c>
      <c r="I43" s="498">
        <v>7463</v>
      </c>
      <c r="J43" s="498">
        <v>47762</v>
      </c>
      <c r="K43" s="498">
        <v>6555</v>
      </c>
      <c r="L43" s="498">
        <v>44197</v>
      </c>
      <c r="O43" s="165" t="str">
        <f t="shared" si="0"/>
        <v>2021-2023</v>
      </c>
      <c r="P43" s="165">
        <f t="shared" si="1"/>
        <v>0.1499573097507306</v>
      </c>
    </row>
    <row r="44" spans="1:16" x14ac:dyDescent="0.25">
      <c r="A44" s="61" t="s">
        <v>354</v>
      </c>
      <c r="B44" s="61">
        <v>60117</v>
      </c>
      <c r="C44" t="s">
        <v>240</v>
      </c>
      <c r="D44" t="s">
        <v>355</v>
      </c>
      <c r="E44" s="498">
        <v>20</v>
      </c>
      <c r="F44" s="498">
        <v>809</v>
      </c>
      <c r="G44" s="498">
        <v>18</v>
      </c>
      <c r="H44" s="498">
        <v>689</v>
      </c>
      <c r="I44" s="498">
        <v>17</v>
      </c>
      <c r="J44" s="498">
        <v>1160</v>
      </c>
      <c r="K44" s="498">
        <v>19</v>
      </c>
      <c r="L44" s="498">
        <v>1101</v>
      </c>
      <c r="O44" s="165" t="str">
        <f t="shared" si="0"/>
        <v>2021-2023</v>
      </c>
      <c r="P44" s="165">
        <f t="shared" si="1"/>
        <v>1.8305084745762711E-2</v>
      </c>
    </row>
    <row r="45" spans="1:16" x14ac:dyDescent="0.25">
      <c r="A45" s="61" t="s">
        <v>356</v>
      </c>
      <c r="B45" s="61">
        <v>60118</v>
      </c>
      <c r="C45" t="s">
        <v>292</v>
      </c>
      <c r="D45" t="s">
        <v>357</v>
      </c>
      <c r="E45" s="498">
        <v>1092</v>
      </c>
      <c r="F45" s="498">
        <v>3818</v>
      </c>
      <c r="G45" s="498">
        <v>914</v>
      </c>
      <c r="H45" s="498">
        <v>3391</v>
      </c>
      <c r="I45" s="498">
        <v>986</v>
      </c>
      <c r="J45" s="498">
        <v>3534</v>
      </c>
      <c r="K45" s="498">
        <v>1086</v>
      </c>
      <c r="L45" s="498">
        <v>3465</v>
      </c>
      <c r="O45" s="165" t="str">
        <f t="shared" si="0"/>
        <v>2021-2023</v>
      </c>
      <c r="P45" s="165">
        <f t="shared" si="1"/>
        <v>0.2873917228103946</v>
      </c>
    </row>
    <row r="46" spans="1:16" x14ac:dyDescent="0.25">
      <c r="A46" s="103" t="s">
        <v>160</v>
      </c>
      <c r="B46" s="103">
        <v>60119</v>
      </c>
      <c r="C46" t="s">
        <v>304</v>
      </c>
      <c r="D46" t="s">
        <v>358</v>
      </c>
      <c r="E46" s="498">
        <v>7123</v>
      </c>
      <c r="F46" s="498">
        <v>48106</v>
      </c>
      <c r="G46" s="498">
        <v>8700</v>
      </c>
      <c r="H46" s="498">
        <v>52374</v>
      </c>
      <c r="I46" s="498">
        <v>9644</v>
      </c>
      <c r="J46" s="498">
        <v>54894</v>
      </c>
      <c r="K46" s="498">
        <v>8673</v>
      </c>
      <c r="L46" s="498">
        <v>56134</v>
      </c>
      <c r="O46" s="165" t="str">
        <f t="shared" si="0"/>
        <v>2021-2023</v>
      </c>
      <c r="P46" s="165">
        <f t="shared" si="1"/>
        <v>0.16534069350436348</v>
      </c>
    </row>
    <row r="47" spans="1:16" x14ac:dyDescent="0.25">
      <c r="A47" s="61" t="s">
        <v>359</v>
      </c>
      <c r="B47" s="61">
        <v>60124</v>
      </c>
      <c r="C47" t="s">
        <v>292</v>
      </c>
      <c r="D47" t="s">
        <v>360</v>
      </c>
      <c r="E47" s="472"/>
      <c r="F47" s="472">
        <v>4408</v>
      </c>
      <c r="G47" s="472"/>
      <c r="H47" s="472">
        <v>3401</v>
      </c>
      <c r="I47" s="472"/>
      <c r="J47" s="472">
        <v>2451</v>
      </c>
      <c r="K47" s="472"/>
      <c r="L47" s="472">
        <v>2151</v>
      </c>
      <c r="O47" s="165" t="str">
        <f t="shared" si="0"/>
        <v>2021-2023</v>
      </c>
      <c r="P47" s="165">
        <f t="shared" si="1"/>
        <v>0</v>
      </c>
    </row>
    <row r="48" spans="1:16" x14ac:dyDescent="0.25">
      <c r="A48" s="61" t="s">
        <v>361</v>
      </c>
      <c r="B48" s="61">
        <v>60125</v>
      </c>
      <c r="C48" t="s">
        <v>332</v>
      </c>
      <c r="D48" t="s">
        <v>362</v>
      </c>
      <c r="E48" s="498">
        <v>2130</v>
      </c>
      <c r="F48" s="498">
        <v>11777</v>
      </c>
      <c r="G48" s="498">
        <v>2288</v>
      </c>
      <c r="H48" s="498">
        <v>13702</v>
      </c>
      <c r="I48" s="498">
        <v>2809</v>
      </c>
      <c r="J48" s="498">
        <v>17933</v>
      </c>
      <c r="K48" s="498">
        <v>2692</v>
      </c>
      <c r="L48" s="498">
        <v>15478</v>
      </c>
      <c r="O48" s="165" t="str">
        <f t="shared" si="0"/>
        <v>2021-2023</v>
      </c>
      <c r="P48" s="165">
        <f t="shared" si="1"/>
        <v>0.16532591853628509</v>
      </c>
    </row>
    <row r="49" spans="1:17" x14ac:dyDescent="0.25">
      <c r="A49" s="61" t="s">
        <v>363</v>
      </c>
      <c r="B49" s="61">
        <v>60126</v>
      </c>
      <c r="C49" t="s">
        <v>289</v>
      </c>
      <c r="D49" t="s">
        <v>364</v>
      </c>
      <c r="E49" s="498">
        <v>1055</v>
      </c>
      <c r="F49" s="498">
        <v>3350</v>
      </c>
      <c r="G49" s="498">
        <v>1464</v>
      </c>
      <c r="H49" s="498">
        <v>4611</v>
      </c>
      <c r="I49" s="498">
        <v>1773</v>
      </c>
      <c r="J49" s="498">
        <v>4792</v>
      </c>
      <c r="K49" s="498">
        <v>1652</v>
      </c>
      <c r="L49" s="498">
        <v>4632</v>
      </c>
      <c r="O49" s="165" t="str">
        <f t="shared" si="0"/>
        <v>2021-2023</v>
      </c>
      <c r="P49" s="165">
        <f t="shared" si="1"/>
        <v>0.34834342714641964</v>
      </c>
    </row>
    <row r="50" spans="1:17" x14ac:dyDescent="0.25">
      <c r="A50" s="61" t="s">
        <v>365</v>
      </c>
      <c r="B50" s="61">
        <v>60128</v>
      </c>
      <c r="C50" t="s">
        <v>304</v>
      </c>
      <c r="D50" t="s">
        <v>366</v>
      </c>
      <c r="E50" s="498">
        <v>2957</v>
      </c>
      <c r="F50" s="498">
        <v>12108</v>
      </c>
      <c r="G50" s="498">
        <v>3700</v>
      </c>
      <c r="H50" s="498">
        <v>14394</v>
      </c>
      <c r="I50" s="498">
        <v>4314</v>
      </c>
      <c r="J50" s="498">
        <v>17870</v>
      </c>
      <c r="K50" s="498">
        <v>4804</v>
      </c>
      <c r="L50" s="498">
        <v>20547</v>
      </c>
      <c r="O50" s="165" t="str">
        <f t="shared" si="0"/>
        <v>2021-2023</v>
      </c>
      <c r="P50" s="165">
        <f t="shared" si="1"/>
        <v>0.24271458597640644</v>
      </c>
    </row>
    <row r="51" spans="1:17" x14ac:dyDescent="0.25">
      <c r="A51" s="61" t="s">
        <v>162</v>
      </c>
      <c r="B51" s="61">
        <v>60129</v>
      </c>
      <c r="C51" t="s">
        <v>304</v>
      </c>
      <c r="D51" t="s">
        <v>367</v>
      </c>
      <c r="E51" s="498">
        <v>2321</v>
      </c>
      <c r="F51" s="498">
        <v>6233</v>
      </c>
      <c r="G51" s="498">
        <v>3065</v>
      </c>
      <c r="H51" s="498">
        <v>8770</v>
      </c>
      <c r="I51" s="498">
        <v>4070</v>
      </c>
      <c r="J51" s="498">
        <v>9632</v>
      </c>
      <c r="K51" s="498">
        <v>1726</v>
      </c>
      <c r="L51" s="498">
        <v>8402</v>
      </c>
      <c r="O51" s="165" t="str">
        <f t="shared" si="0"/>
        <v>2021-2023</v>
      </c>
      <c r="P51" s="165">
        <f t="shared" si="1"/>
        <v>0.3305849873153261</v>
      </c>
    </row>
    <row r="52" spans="1:17" x14ac:dyDescent="0.25">
      <c r="A52" s="61" t="s">
        <v>368</v>
      </c>
      <c r="B52" s="61">
        <v>60130</v>
      </c>
      <c r="C52" t="s">
        <v>304</v>
      </c>
      <c r="D52" t="s">
        <v>369</v>
      </c>
      <c r="E52" s="498">
        <v>254</v>
      </c>
      <c r="F52" s="498">
        <v>1772</v>
      </c>
      <c r="G52" s="498">
        <v>394</v>
      </c>
      <c r="H52" s="498">
        <v>2274</v>
      </c>
      <c r="I52" s="498">
        <v>546</v>
      </c>
      <c r="J52" s="498">
        <v>2407</v>
      </c>
      <c r="K52" s="498">
        <v>292</v>
      </c>
      <c r="L52" s="498">
        <v>1256</v>
      </c>
      <c r="O52" s="165" t="str">
        <f t="shared" si="0"/>
        <v>2021-2023</v>
      </c>
      <c r="P52" s="165">
        <f t="shared" si="1"/>
        <v>0.20751221155465724</v>
      </c>
    </row>
    <row r="53" spans="1:17" x14ac:dyDescent="0.25">
      <c r="A53" s="61" t="s">
        <v>370</v>
      </c>
      <c r="B53" s="61">
        <v>60131</v>
      </c>
      <c r="C53" t="s">
        <v>304</v>
      </c>
      <c r="D53" t="s">
        <v>371</v>
      </c>
      <c r="E53" s="498"/>
      <c r="F53" s="498"/>
      <c r="G53" s="498">
        <v>3384</v>
      </c>
      <c r="H53" s="498">
        <v>15142</v>
      </c>
      <c r="I53" s="498">
        <v>4301</v>
      </c>
      <c r="J53" s="498">
        <v>16764</v>
      </c>
      <c r="K53" s="498">
        <v>4593</v>
      </c>
      <c r="L53" s="498">
        <v>17577</v>
      </c>
      <c r="O53" s="165" t="str">
        <f t="shared" si="0"/>
        <v>2021-2023</v>
      </c>
      <c r="P53" s="165">
        <f t="shared" si="1"/>
        <v>0.24812561889942</v>
      </c>
    </row>
    <row r="54" spans="1:17" x14ac:dyDescent="0.25">
      <c r="A54" s="61" t="s">
        <v>372</v>
      </c>
      <c r="B54" s="61">
        <v>60132</v>
      </c>
      <c r="C54" t="s">
        <v>304</v>
      </c>
      <c r="D54" t="s">
        <v>373</v>
      </c>
      <c r="E54" s="498"/>
      <c r="F54" s="498"/>
      <c r="G54" s="498">
        <v>3274</v>
      </c>
      <c r="H54" s="498">
        <v>20331</v>
      </c>
      <c r="I54" s="498">
        <v>3997</v>
      </c>
      <c r="J54" s="498">
        <v>28111</v>
      </c>
      <c r="K54" s="498">
        <v>4259</v>
      </c>
      <c r="L54" s="498">
        <v>27659</v>
      </c>
      <c r="O54" s="165" t="str">
        <f t="shared" si="0"/>
        <v>2021-2023</v>
      </c>
      <c r="P54" s="165">
        <f t="shared" si="1"/>
        <v>0.15150917859160851</v>
      </c>
    </row>
    <row r="55" spans="1:17" x14ac:dyDescent="0.25">
      <c r="A55" s="61" t="s">
        <v>374</v>
      </c>
      <c r="B55" s="61">
        <v>60133</v>
      </c>
      <c r="C55" t="s">
        <v>376</v>
      </c>
      <c r="D55" s="6" t="s">
        <v>375</v>
      </c>
      <c r="E55" s="498"/>
      <c r="F55" s="498"/>
      <c r="G55" s="498"/>
      <c r="H55" s="498"/>
      <c r="I55" s="498"/>
      <c r="J55" s="498"/>
      <c r="K55" s="498"/>
      <c r="L55" s="498"/>
      <c r="O55" s="165" t="s">
        <v>377</v>
      </c>
      <c r="P55" s="165" t="s">
        <v>377</v>
      </c>
      <c r="Q55" s="81" t="s">
        <v>772</v>
      </c>
    </row>
    <row r="56" spans="1:17" x14ac:dyDescent="0.25">
      <c r="A56" s="61" t="s">
        <v>378</v>
      </c>
      <c r="B56" s="61">
        <v>61300</v>
      </c>
      <c r="C56"/>
      <c r="D56" t="s">
        <v>379</v>
      </c>
      <c r="E56" s="498">
        <v>3847</v>
      </c>
      <c r="F56" s="498">
        <v>6240</v>
      </c>
      <c r="G56" s="498">
        <v>3022</v>
      </c>
      <c r="H56" s="498">
        <v>5541</v>
      </c>
      <c r="I56" s="498">
        <v>2478</v>
      </c>
      <c r="J56" s="498">
        <v>4989</v>
      </c>
      <c r="K56" s="498">
        <v>2375</v>
      </c>
      <c r="L56" s="498">
        <v>4875</v>
      </c>
      <c r="O56" s="165" t="str">
        <f t="shared" ref="O56:O89" si="2">IF(M56=0,"2021-2023","2022-2024")</f>
        <v>2021-2023</v>
      </c>
      <c r="P56" s="165">
        <f t="shared" ref="P56:P89" si="3">IF(M56=0,((G56+I56+K56)/(H56+J56+L56)),((I56+K56+M56)/(J56+L56+N56)))</f>
        <v>0.51119766309639725</v>
      </c>
    </row>
    <row r="57" spans="1:17" x14ac:dyDescent="0.25">
      <c r="A57" s="61" t="s">
        <v>380</v>
      </c>
      <c r="B57" s="61">
        <v>61301</v>
      </c>
      <c r="C57"/>
      <c r="D57" t="s">
        <v>381</v>
      </c>
      <c r="E57" s="498">
        <v>195</v>
      </c>
      <c r="F57" s="498">
        <v>2057</v>
      </c>
      <c r="G57" s="498">
        <v>213</v>
      </c>
      <c r="H57" s="498">
        <v>2436</v>
      </c>
      <c r="I57" s="498">
        <v>272</v>
      </c>
      <c r="J57" s="498">
        <v>2836</v>
      </c>
      <c r="K57" s="498">
        <v>235</v>
      </c>
      <c r="L57" s="498">
        <v>2675</v>
      </c>
      <c r="O57" s="165" t="str">
        <f t="shared" si="2"/>
        <v>2021-2023</v>
      </c>
      <c r="P57" s="165">
        <f t="shared" si="3"/>
        <v>9.0600226500566247E-2</v>
      </c>
    </row>
    <row r="58" spans="1:17" x14ac:dyDescent="0.25">
      <c r="A58" s="61" t="s">
        <v>382</v>
      </c>
      <c r="B58" s="61">
        <v>61302</v>
      </c>
      <c r="C58"/>
      <c r="D58" t="s">
        <v>383</v>
      </c>
      <c r="E58" s="498">
        <v>91</v>
      </c>
      <c r="F58" s="498">
        <v>5967</v>
      </c>
      <c r="G58" s="498">
        <v>130</v>
      </c>
      <c r="H58" s="498">
        <v>6070</v>
      </c>
      <c r="I58" s="498">
        <v>107</v>
      </c>
      <c r="J58" s="498">
        <v>5971</v>
      </c>
      <c r="K58" s="498">
        <v>107</v>
      </c>
      <c r="L58" s="498">
        <v>5553</v>
      </c>
      <c r="O58" s="165" t="str">
        <f t="shared" si="2"/>
        <v>2021-2023</v>
      </c>
      <c r="P58" s="165">
        <f t="shared" si="3"/>
        <v>1.9552120040923042E-2</v>
      </c>
    </row>
    <row r="59" spans="1:17" x14ac:dyDescent="0.25">
      <c r="A59" s="61" t="s">
        <v>384</v>
      </c>
      <c r="B59" s="61">
        <v>61303</v>
      </c>
      <c r="C59" t="s">
        <v>289</v>
      </c>
      <c r="D59" t="s">
        <v>385</v>
      </c>
      <c r="E59" s="498">
        <v>332</v>
      </c>
      <c r="F59" s="498">
        <v>2009</v>
      </c>
      <c r="G59" s="498">
        <v>402</v>
      </c>
      <c r="H59" s="498">
        <v>2294</v>
      </c>
      <c r="I59" s="498">
        <v>335</v>
      </c>
      <c r="J59" s="498">
        <v>2023</v>
      </c>
      <c r="K59" s="498">
        <v>445</v>
      </c>
      <c r="L59" s="498">
        <v>1838</v>
      </c>
      <c r="O59" s="165" t="str">
        <f t="shared" si="2"/>
        <v>2021-2023</v>
      </c>
      <c r="P59" s="165">
        <f t="shared" si="3"/>
        <v>0.19203899268887084</v>
      </c>
    </row>
    <row r="60" spans="1:17" x14ac:dyDescent="0.25">
      <c r="A60" s="61" t="s">
        <v>386</v>
      </c>
      <c r="B60" s="61">
        <v>61304</v>
      </c>
      <c r="C60"/>
      <c r="D60" t="s">
        <v>387</v>
      </c>
      <c r="E60" s="498">
        <v>4533</v>
      </c>
      <c r="F60" s="498">
        <v>7631</v>
      </c>
      <c r="G60" s="498">
        <v>4488</v>
      </c>
      <c r="H60" s="498">
        <v>7646</v>
      </c>
      <c r="I60" s="498">
        <v>4578</v>
      </c>
      <c r="J60" s="498">
        <v>7745</v>
      </c>
      <c r="K60" s="498">
        <v>4483</v>
      </c>
      <c r="L60" s="498">
        <v>7500</v>
      </c>
      <c r="O60" s="165" t="str">
        <f t="shared" si="2"/>
        <v>2021-2023</v>
      </c>
      <c r="P60" s="165">
        <f t="shared" si="3"/>
        <v>0.59189200996024638</v>
      </c>
    </row>
    <row r="61" spans="1:17" x14ac:dyDescent="0.25">
      <c r="A61" s="61" t="s">
        <v>388</v>
      </c>
      <c r="B61" s="61">
        <v>61305</v>
      </c>
      <c r="C61"/>
      <c r="D61" t="s">
        <v>389</v>
      </c>
      <c r="E61" s="498">
        <v>15</v>
      </c>
      <c r="F61" s="498">
        <v>1303</v>
      </c>
      <c r="G61" s="498">
        <v>48</v>
      </c>
      <c r="H61" s="498">
        <v>999</v>
      </c>
      <c r="I61" s="498">
        <v>20</v>
      </c>
      <c r="J61" s="498">
        <v>778</v>
      </c>
      <c r="K61" s="498">
        <v>14</v>
      </c>
      <c r="L61" s="498">
        <v>755</v>
      </c>
      <c r="O61" s="165" t="str">
        <f t="shared" si="2"/>
        <v>2021-2023</v>
      </c>
      <c r="P61" s="165">
        <f t="shared" si="3"/>
        <v>3.2385466034755131E-2</v>
      </c>
    </row>
    <row r="62" spans="1:17" x14ac:dyDescent="0.25">
      <c r="A62" s="61" t="s">
        <v>390</v>
      </c>
      <c r="B62" s="61">
        <v>61306</v>
      </c>
      <c r="C62"/>
      <c r="D62" t="s">
        <v>391</v>
      </c>
      <c r="E62" s="498">
        <v>23</v>
      </c>
      <c r="F62" s="498">
        <v>1102</v>
      </c>
      <c r="G62" s="498">
        <v>71</v>
      </c>
      <c r="H62" s="498">
        <v>1197</v>
      </c>
      <c r="I62" s="498">
        <v>96</v>
      </c>
      <c r="J62" s="498">
        <v>1335</v>
      </c>
      <c r="K62" s="498">
        <v>85</v>
      </c>
      <c r="L62" s="498">
        <v>1311</v>
      </c>
      <c r="O62" s="165" t="str">
        <f t="shared" si="2"/>
        <v>2021-2023</v>
      </c>
      <c r="P62" s="165">
        <f t="shared" si="3"/>
        <v>6.5573770491803282E-2</v>
      </c>
    </row>
    <row r="63" spans="1:17" x14ac:dyDescent="0.25">
      <c r="A63" s="61" t="s">
        <v>392</v>
      </c>
      <c r="B63" s="61">
        <v>61307</v>
      </c>
      <c r="C63"/>
      <c r="D63" t="s">
        <v>393</v>
      </c>
      <c r="E63" s="498">
        <v>12</v>
      </c>
      <c r="F63" s="498">
        <v>4553</v>
      </c>
      <c r="G63" s="498">
        <v>23</v>
      </c>
      <c r="H63" s="498">
        <v>4511</v>
      </c>
      <c r="I63" s="498">
        <v>15</v>
      </c>
      <c r="J63" s="498">
        <v>4944</v>
      </c>
      <c r="K63" s="498">
        <v>4</v>
      </c>
      <c r="L63" s="498">
        <v>434</v>
      </c>
      <c r="O63" s="165" t="str">
        <f t="shared" si="2"/>
        <v>2021-2023</v>
      </c>
      <c r="P63" s="165">
        <f t="shared" si="3"/>
        <v>4.2471432905248256E-3</v>
      </c>
    </row>
    <row r="64" spans="1:17" x14ac:dyDescent="0.25">
      <c r="A64" s="61" t="s">
        <v>394</v>
      </c>
      <c r="B64" s="61">
        <v>61308</v>
      </c>
      <c r="C64" t="s">
        <v>300</v>
      </c>
      <c r="D64" t="s">
        <v>395</v>
      </c>
      <c r="E64" s="498">
        <v>95</v>
      </c>
      <c r="F64" s="498">
        <v>1193</v>
      </c>
      <c r="G64" s="498">
        <v>91</v>
      </c>
      <c r="H64" s="498">
        <v>1366</v>
      </c>
      <c r="I64" s="498">
        <v>179</v>
      </c>
      <c r="J64" s="498">
        <v>1536</v>
      </c>
      <c r="K64" s="498">
        <v>269</v>
      </c>
      <c r="L64" s="498">
        <v>1112</v>
      </c>
      <c r="O64" s="165" t="str">
        <f t="shared" si="2"/>
        <v>2021-2023</v>
      </c>
      <c r="P64" s="165">
        <f t="shared" si="3"/>
        <v>0.13428001993024413</v>
      </c>
    </row>
    <row r="65" spans="1:16" x14ac:dyDescent="0.25">
      <c r="A65" s="61" t="s">
        <v>164</v>
      </c>
      <c r="B65" s="61">
        <v>61309</v>
      </c>
      <c r="C65"/>
      <c r="D65" t="s">
        <v>219</v>
      </c>
      <c r="E65" s="498">
        <v>196</v>
      </c>
      <c r="F65" s="498">
        <v>1082</v>
      </c>
      <c r="G65" s="498">
        <v>295</v>
      </c>
      <c r="H65" s="498">
        <v>1449</v>
      </c>
      <c r="I65" s="498">
        <v>334</v>
      </c>
      <c r="J65" s="498">
        <v>1314</v>
      </c>
      <c r="K65" s="498">
        <v>265</v>
      </c>
      <c r="L65" s="498">
        <v>1089</v>
      </c>
      <c r="O65" s="165" t="str">
        <f t="shared" si="2"/>
        <v>2021-2023</v>
      </c>
      <c r="P65" s="165">
        <f t="shared" si="3"/>
        <v>0.23208722741433022</v>
      </c>
    </row>
    <row r="66" spans="1:16" x14ac:dyDescent="0.25">
      <c r="A66" s="61" t="s">
        <v>396</v>
      </c>
      <c r="B66" s="61">
        <v>61310</v>
      </c>
      <c r="C66"/>
      <c r="D66" t="s">
        <v>397</v>
      </c>
      <c r="E66" s="498">
        <v>42</v>
      </c>
      <c r="F66" s="498">
        <v>937</v>
      </c>
      <c r="G66" s="498">
        <v>42</v>
      </c>
      <c r="H66" s="498">
        <v>836</v>
      </c>
      <c r="I66" s="498">
        <v>41</v>
      </c>
      <c r="J66" s="498">
        <v>774</v>
      </c>
      <c r="K66" s="498">
        <v>2</v>
      </c>
      <c r="L66" s="498">
        <v>749</v>
      </c>
      <c r="O66" s="165" t="str">
        <f t="shared" si="2"/>
        <v>2021-2023</v>
      </c>
      <c r="P66" s="165">
        <f t="shared" si="3"/>
        <v>3.603221704111912E-2</v>
      </c>
    </row>
    <row r="67" spans="1:16" x14ac:dyDescent="0.25">
      <c r="A67" s="61" t="s">
        <v>398</v>
      </c>
      <c r="B67" s="61">
        <v>61311</v>
      </c>
      <c r="C67"/>
      <c r="D67" t="s">
        <v>399</v>
      </c>
      <c r="E67" s="498">
        <v>123</v>
      </c>
      <c r="F67" s="498">
        <v>1848</v>
      </c>
      <c r="G67" s="498">
        <v>50</v>
      </c>
      <c r="H67" s="498">
        <v>1688</v>
      </c>
      <c r="I67" s="498">
        <v>75</v>
      </c>
      <c r="J67" s="498">
        <v>1405</v>
      </c>
      <c r="K67" s="498">
        <v>108</v>
      </c>
      <c r="L67" s="498">
        <v>1337</v>
      </c>
      <c r="O67" s="165" t="str">
        <f t="shared" si="2"/>
        <v>2021-2023</v>
      </c>
      <c r="P67" s="165">
        <f t="shared" si="3"/>
        <v>5.2595936794582396E-2</v>
      </c>
    </row>
    <row r="68" spans="1:16" x14ac:dyDescent="0.25">
      <c r="A68" s="61" t="s">
        <v>400</v>
      </c>
      <c r="B68" s="61">
        <v>61312</v>
      </c>
      <c r="C68"/>
      <c r="D68" t="s">
        <v>401</v>
      </c>
      <c r="E68" s="498">
        <v>164</v>
      </c>
      <c r="F68" s="498">
        <v>1270</v>
      </c>
      <c r="G68" s="498">
        <v>109</v>
      </c>
      <c r="H68" s="498">
        <v>1330</v>
      </c>
      <c r="I68" s="498">
        <v>166</v>
      </c>
      <c r="J68" s="498">
        <v>1088</v>
      </c>
      <c r="K68" s="498">
        <v>58</v>
      </c>
      <c r="L68" s="498">
        <v>687</v>
      </c>
      <c r="O68" s="165" t="str">
        <f t="shared" si="2"/>
        <v>2021-2023</v>
      </c>
      <c r="P68" s="165">
        <f t="shared" si="3"/>
        <v>0.1072463768115942</v>
      </c>
    </row>
    <row r="69" spans="1:16" x14ac:dyDescent="0.25">
      <c r="A69" s="61" t="s">
        <v>402</v>
      </c>
      <c r="B69" s="61">
        <v>61313</v>
      </c>
      <c r="C69"/>
      <c r="D69" t="s">
        <v>403</v>
      </c>
      <c r="E69" s="498">
        <v>95</v>
      </c>
      <c r="F69" s="498">
        <v>1032</v>
      </c>
      <c r="G69" s="498">
        <v>128</v>
      </c>
      <c r="H69" s="498">
        <v>857</v>
      </c>
      <c r="I69" s="498">
        <v>12</v>
      </c>
      <c r="J69" s="498">
        <v>903</v>
      </c>
      <c r="K69" s="498">
        <v>32</v>
      </c>
      <c r="L69" s="498">
        <v>1169</v>
      </c>
      <c r="O69" s="165" t="str">
        <f t="shared" si="2"/>
        <v>2021-2023</v>
      </c>
      <c r="P69" s="165">
        <f t="shared" si="3"/>
        <v>5.872311369067941E-2</v>
      </c>
    </row>
    <row r="70" spans="1:16" x14ac:dyDescent="0.25">
      <c r="A70" s="61" t="s">
        <v>404</v>
      </c>
      <c r="B70" s="61">
        <v>61314</v>
      </c>
      <c r="C70"/>
      <c r="D70" t="s">
        <v>405</v>
      </c>
      <c r="E70" s="498">
        <v>286</v>
      </c>
      <c r="F70" s="498">
        <v>2942</v>
      </c>
      <c r="G70" s="498">
        <v>359</v>
      </c>
      <c r="H70" s="498">
        <v>3415</v>
      </c>
      <c r="I70" s="498">
        <v>276</v>
      </c>
      <c r="J70" s="498">
        <v>2243</v>
      </c>
      <c r="K70" s="498">
        <v>271</v>
      </c>
      <c r="L70" s="498">
        <v>1597</v>
      </c>
      <c r="O70" s="165" t="str">
        <f t="shared" si="2"/>
        <v>2021-2023</v>
      </c>
      <c r="P70" s="165">
        <f t="shared" si="3"/>
        <v>0.12487939352170917</v>
      </c>
    </row>
    <row r="71" spans="1:16" x14ac:dyDescent="0.25">
      <c r="A71" s="61" t="s">
        <v>406</v>
      </c>
      <c r="B71" s="61">
        <v>61315</v>
      </c>
      <c r="C71"/>
      <c r="D71" t="s">
        <v>407</v>
      </c>
      <c r="E71" s="498">
        <v>77</v>
      </c>
      <c r="F71" s="498">
        <v>797</v>
      </c>
      <c r="G71" s="498">
        <v>96</v>
      </c>
      <c r="H71" s="498">
        <v>791</v>
      </c>
      <c r="I71" s="498">
        <v>72</v>
      </c>
      <c r="J71" s="498">
        <v>750</v>
      </c>
      <c r="K71" s="498">
        <v>8</v>
      </c>
      <c r="L71" s="498">
        <v>405</v>
      </c>
      <c r="O71" s="165" t="str">
        <f t="shared" si="2"/>
        <v>2021-2023</v>
      </c>
      <c r="P71" s="165">
        <f t="shared" si="3"/>
        <v>9.044193216855087E-2</v>
      </c>
    </row>
    <row r="72" spans="1:16" x14ac:dyDescent="0.25">
      <c r="A72" s="61" t="s">
        <v>408</v>
      </c>
      <c r="B72" s="61">
        <v>61316</v>
      </c>
      <c r="C72"/>
      <c r="D72" t="s">
        <v>409</v>
      </c>
      <c r="E72" s="498">
        <v>2371</v>
      </c>
      <c r="F72" s="498">
        <v>4137</v>
      </c>
      <c r="G72" s="498">
        <v>1995</v>
      </c>
      <c r="H72" s="498">
        <v>3627</v>
      </c>
      <c r="I72" s="498">
        <v>2205</v>
      </c>
      <c r="J72" s="498">
        <v>3375</v>
      </c>
      <c r="K72" s="498">
        <v>3125</v>
      </c>
      <c r="L72" s="498">
        <v>4535</v>
      </c>
      <c r="O72" s="165" t="str">
        <f t="shared" si="2"/>
        <v>2021-2023</v>
      </c>
      <c r="P72" s="165">
        <f t="shared" si="3"/>
        <v>0.63491375574239406</v>
      </c>
    </row>
    <row r="73" spans="1:16" x14ac:dyDescent="0.25">
      <c r="A73" s="61" t="s">
        <v>410</v>
      </c>
      <c r="B73" s="61">
        <v>61317</v>
      </c>
      <c r="C73"/>
      <c r="D73" t="s">
        <v>411</v>
      </c>
      <c r="E73" s="498">
        <v>311</v>
      </c>
      <c r="F73" s="498">
        <v>2066</v>
      </c>
      <c r="G73" s="498">
        <v>413</v>
      </c>
      <c r="H73" s="498">
        <v>2711</v>
      </c>
      <c r="I73" s="498">
        <v>444</v>
      </c>
      <c r="J73" s="498">
        <v>2792</v>
      </c>
      <c r="K73" s="498">
        <v>397</v>
      </c>
      <c r="L73" s="498">
        <v>2892</v>
      </c>
      <c r="O73" s="165" t="str">
        <f t="shared" si="2"/>
        <v>2021-2023</v>
      </c>
      <c r="P73" s="165">
        <f t="shared" si="3"/>
        <v>0.14937462775461585</v>
      </c>
    </row>
    <row r="74" spans="1:16" x14ac:dyDescent="0.25">
      <c r="A74" s="61" t="s">
        <v>412</v>
      </c>
      <c r="B74" s="61">
        <v>61318</v>
      </c>
      <c r="C74"/>
      <c r="D74" t="s">
        <v>413</v>
      </c>
      <c r="E74" s="498">
        <v>869</v>
      </c>
      <c r="F74" s="498">
        <v>1681</v>
      </c>
      <c r="G74" s="498">
        <v>2005</v>
      </c>
      <c r="H74" s="498">
        <v>2818</v>
      </c>
      <c r="I74" s="498">
        <v>780</v>
      </c>
      <c r="J74" s="498">
        <v>2996</v>
      </c>
      <c r="K74" s="498">
        <v>710</v>
      </c>
      <c r="L74" s="498">
        <v>3488</v>
      </c>
      <c r="O74" s="165" t="str">
        <f t="shared" si="2"/>
        <v>2021-2023</v>
      </c>
      <c r="P74" s="165">
        <f t="shared" si="3"/>
        <v>0.3757256503977639</v>
      </c>
    </row>
    <row r="75" spans="1:16" x14ac:dyDescent="0.25">
      <c r="A75" s="61" t="s">
        <v>414</v>
      </c>
      <c r="B75" s="61">
        <v>61319</v>
      </c>
      <c r="C75"/>
      <c r="D75" t="s">
        <v>415</v>
      </c>
      <c r="E75" s="498">
        <v>72</v>
      </c>
      <c r="F75" s="498">
        <v>633</v>
      </c>
      <c r="G75" s="498">
        <v>190</v>
      </c>
      <c r="H75" s="498">
        <v>782</v>
      </c>
      <c r="I75" s="498">
        <v>95</v>
      </c>
      <c r="J75" s="498">
        <v>605</v>
      </c>
      <c r="K75" s="498">
        <v>34</v>
      </c>
      <c r="L75" s="498">
        <v>588</v>
      </c>
      <c r="O75" s="165" t="str">
        <f t="shared" si="2"/>
        <v>2021-2023</v>
      </c>
      <c r="P75" s="165">
        <f t="shared" si="3"/>
        <v>0.16151898734177214</v>
      </c>
    </row>
    <row r="76" spans="1:16" x14ac:dyDescent="0.25">
      <c r="A76" s="61" t="s">
        <v>416</v>
      </c>
      <c r="B76" s="61">
        <v>61320</v>
      </c>
      <c r="C76"/>
      <c r="D76" t="s">
        <v>417</v>
      </c>
      <c r="E76" s="498">
        <v>180</v>
      </c>
      <c r="F76" s="498">
        <v>1999</v>
      </c>
      <c r="G76" s="498">
        <v>258</v>
      </c>
      <c r="H76" s="498">
        <v>2344</v>
      </c>
      <c r="I76" s="498">
        <v>207</v>
      </c>
      <c r="J76" s="498">
        <v>2400</v>
      </c>
      <c r="K76" s="498">
        <v>235</v>
      </c>
      <c r="L76" s="498">
        <v>2234</v>
      </c>
      <c r="O76" s="165" t="str">
        <f t="shared" si="2"/>
        <v>2021-2023</v>
      </c>
      <c r="P76" s="165">
        <f t="shared" si="3"/>
        <v>0.10031527658354829</v>
      </c>
    </row>
    <row r="77" spans="1:16" x14ac:dyDescent="0.25">
      <c r="A77" s="61" t="s">
        <v>418</v>
      </c>
      <c r="B77" s="61">
        <v>61321</v>
      </c>
      <c r="C77"/>
      <c r="D77" t="s">
        <v>419</v>
      </c>
      <c r="E77" s="498">
        <v>331</v>
      </c>
      <c r="F77" s="498">
        <v>2101</v>
      </c>
      <c r="G77" s="498">
        <v>367</v>
      </c>
      <c r="H77" s="498">
        <v>1925</v>
      </c>
      <c r="I77" s="498">
        <v>264</v>
      </c>
      <c r="J77" s="498">
        <v>1746</v>
      </c>
      <c r="K77" s="498">
        <v>228</v>
      </c>
      <c r="L77" s="498">
        <v>1785</v>
      </c>
      <c r="O77" s="165" t="str">
        <f t="shared" si="2"/>
        <v>2021-2023</v>
      </c>
      <c r="P77" s="165">
        <f t="shared" si="3"/>
        <v>0.15744134897360704</v>
      </c>
    </row>
    <row r="78" spans="1:16" x14ac:dyDescent="0.25">
      <c r="A78" s="61" t="s">
        <v>420</v>
      </c>
      <c r="B78" s="61">
        <v>61322</v>
      </c>
      <c r="C78"/>
      <c r="D78" t="s">
        <v>421</v>
      </c>
      <c r="E78" s="498">
        <v>512</v>
      </c>
      <c r="F78" s="498">
        <v>3858</v>
      </c>
      <c r="G78" s="498">
        <v>619</v>
      </c>
      <c r="H78" s="498">
        <v>3936</v>
      </c>
      <c r="I78" s="498">
        <v>413</v>
      </c>
      <c r="J78" s="498">
        <v>3229</v>
      </c>
      <c r="K78" s="498">
        <v>533</v>
      </c>
      <c r="L78" s="498">
        <v>3323</v>
      </c>
      <c r="O78" s="165" t="str">
        <f t="shared" si="2"/>
        <v>2021-2023</v>
      </c>
      <c r="P78" s="165">
        <f t="shared" si="3"/>
        <v>0.14921815408085431</v>
      </c>
    </row>
    <row r="79" spans="1:16" x14ac:dyDescent="0.25">
      <c r="A79" s="61" t="s">
        <v>422</v>
      </c>
      <c r="B79" s="61">
        <v>61323</v>
      </c>
      <c r="C79"/>
      <c r="D79" t="s">
        <v>423</v>
      </c>
      <c r="E79" s="498">
        <v>578</v>
      </c>
      <c r="F79" s="498">
        <v>2485</v>
      </c>
      <c r="G79" s="498">
        <v>423</v>
      </c>
      <c r="H79" s="498">
        <v>2352</v>
      </c>
      <c r="I79" s="498">
        <v>278</v>
      </c>
      <c r="J79" s="498">
        <v>1820</v>
      </c>
      <c r="K79" s="498">
        <v>409</v>
      </c>
      <c r="L79" s="498">
        <v>1658</v>
      </c>
      <c r="O79" s="165" t="str">
        <f t="shared" si="2"/>
        <v>2021-2023</v>
      </c>
      <c r="P79" s="165">
        <f t="shared" si="3"/>
        <v>0.19039451114922812</v>
      </c>
    </row>
    <row r="80" spans="1:16" x14ac:dyDescent="0.25">
      <c r="A80" s="61" t="s">
        <v>424</v>
      </c>
      <c r="B80" s="61">
        <v>61324</v>
      </c>
      <c r="C80"/>
      <c r="D80" t="s">
        <v>425</v>
      </c>
      <c r="E80" s="498">
        <v>231</v>
      </c>
      <c r="F80" s="498">
        <v>2310</v>
      </c>
      <c r="G80" s="498">
        <v>312</v>
      </c>
      <c r="H80" s="498">
        <v>2575</v>
      </c>
      <c r="I80" s="498">
        <v>266</v>
      </c>
      <c r="J80" s="498">
        <v>2371</v>
      </c>
      <c r="K80" s="498">
        <v>220</v>
      </c>
      <c r="L80" s="498">
        <v>2496</v>
      </c>
      <c r="O80" s="165" t="str">
        <f t="shared" si="2"/>
        <v>2021-2023</v>
      </c>
      <c r="P80" s="165">
        <f t="shared" si="3"/>
        <v>0.10722923945176029</v>
      </c>
    </row>
    <row r="81" spans="1:20" x14ac:dyDescent="0.25">
      <c r="A81" s="61" t="s">
        <v>426</v>
      </c>
      <c r="B81" s="61">
        <v>61325</v>
      </c>
      <c r="C81"/>
      <c r="D81" t="s">
        <v>427</v>
      </c>
      <c r="E81" s="498">
        <v>80</v>
      </c>
      <c r="F81" s="498">
        <v>1514</v>
      </c>
      <c r="G81" s="498">
        <v>135</v>
      </c>
      <c r="H81" s="498">
        <v>2131</v>
      </c>
      <c r="I81" s="498">
        <v>110</v>
      </c>
      <c r="J81" s="498">
        <v>1690</v>
      </c>
      <c r="K81" s="498">
        <v>85</v>
      </c>
      <c r="L81" s="498">
        <v>1466</v>
      </c>
      <c r="O81" s="165" t="str">
        <f t="shared" si="2"/>
        <v>2021-2023</v>
      </c>
      <c r="P81" s="165">
        <f t="shared" si="3"/>
        <v>6.2417249858142614E-2</v>
      </c>
    </row>
    <row r="82" spans="1:20" x14ac:dyDescent="0.25">
      <c r="A82" s="61" t="s">
        <v>428</v>
      </c>
      <c r="B82" s="61">
        <v>61326</v>
      </c>
      <c r="C82" t="s">
        <v>304</v>
      </c>
      <c r="D82" t="s">
        <v>429</v>
      </c>
      <c r="E82" s="498">
        <v>125</v>
      </c>
      <c r="F82" s="498">
        <v>1600</v>
      </c>
      <c r="G82" s="498">
        <v>134</v>
      </c>
      <c r="H82" s="498">
        <v>1605</v>
      </c>
      <c r="I82" s="498">
        <v>165</v>
      </c>
      <c r="J82" s="498">
        <v>1641</v>
      </c>
      <c r="K82" s="498">
        <v>93</v>
      </c>
      <c r="L82" s="498">
        <v>1021</v>
      </c>
      <c r="O82" s="165" t="str">
        <f t="shared" si="2"/>
        <v>2021-2023</v>
      </c>
      <c r="P82" s="165">
        <f t="shared" si="3"/>
        <v>9.1867822826341691E-2</v>
      </c>
    </row>
    <row r="83" spans="1:20" x14ac:dyDescent="0.25">
      <c r="A83" s="61" t="s">
        <v>430</v>
      </c>
      <c r="B83" s="61">
        <v>61327</v>
      </c>
      <c r="C83"/>
      <c r="D83" t="s">
        <v>431</v>
      </c>
      <c r="E83" s="498">
        <v>968</v>
      </c>
      <c r="F83" s="498">
        <v>3204</v>
      </c>
      <c r="G83" s="498">
        <v>971</v>
      </c>
      <c r="H83" s="498">
        <v>4037</v>
      </c>
      <c r="I83" s="498">
        <v>882</v>
      </c>
      <c r="J83" s="498">
        <v>3459</v>
      </c>
      <c r="K83" s="498">
        <v>948</v>
      </c>
      <c r="L83" s="498">
        <v>3877</v>
      </c>
      <c r="O83" s="165" t="str">
        <f t="shared" si="2"/>
        <v>2021-2023</v>
      </c>
      <c r="P83" s="165">
        <f t="shared" si="3"/>
        <v>0.24628506110964565</v>
      </c>
    </row>
    <row r="84" spans="1:20" x14ac:dyDescent="0.25">
      <c r="A84" s="61" t="s">
        <v>432</v>
      </c>
      <c r="B84" s="61">
        <v>61328</v>
      </c>
      <c r="C84"/>
      <c r="D84" t="s">
        <v>433</v>
      </c>
      <c r="E84" s="498">
        <v>113</v>
      </c>
      <c r="F84" s="498">
        <v>766</v>
      </c>
      <c r="G84" s="498">
        <v>105</v>
      </c>
      <c r="H84" s="498">
        <v>864</v>
      </c>
      <c r="I84" s="498">
        <v>146</v>
      </c>
      <c r="J84" s="498">
        <v>818</v>
      </c>
      <c r="K84" s="498">
        <v>64</v>
      </c>
      <c r="L84" s="498">
        <v>546</v>
      </c>
      <c r="O84" s="165" t="str">
        <f t="shared" si="2"/>
        <v>2021-2023</v>
      </c>
      <c r="P84" s="165">
        <f t="shared" si="3"/>
        <v>0.14138240574506283</v>
      </c>
    </row>
    <row r="85" spans="1:20" x14ac:dyDescent="0.25">
      <c r="A85" s="103" t="s">
        <v>434</v>
      </c>
      <c r="B85" s="103">
        <v>61336</v>
      </c>
      <c r="C85"/>
      <c r="D85" t="s">
        <v>435</v>
      </c>
      <c r="E85" s="498">
        <v>946</v>
      </c>
      <c r="F85" s="498">
        <v>3154</v>
      </c>
      <c r="G85" s="498">
        <v>806</v>
      </c>
      <c r="H85" s="498">
        <v>2361</v>
      </c>
      <c r="I85" s="498">
        <v>910</v>
      </c>
      <c r="J85" s="498">
        <v>2553</v>
      </c>
      <c r="K85" s="498">
        <v>978</v>
      </c>
      <c r="L85" s="498">
        <v>2345</v>
      </c>
      <c r="M85">
        <v>598</v>
      </c>
      <c r="N85">
        <v>1840</v>
      </c>
      <c r="O85" s="165" t="str">
        <f t="shared" si="2"/>
        <v>2022-2024</v>
      </c>
      <c r="P85" s="165">
        <f t="shared" si="3"/>
        <v>0.36895221133867617</v>
      </c>
      <c r="Q85" s="472">
        <f>SUM(M85,K85,I85)</f>
        <v>2486</v>
      </c>
      <c r="R85" s="472">
        <f>SUM(N85,L85,J85)</f>
        <v>6738</v>
      </c>
      <c r="S85" s="223">
        <f>Q85/R85</f>
        <v>0.36895221133867617</v>
      </c>
      <c r="T85" s="6" t="s">
        <v>779</v>
      </c>
    </row>
    <row r="86" spans="1:20" x14ac:dyDescent="0.25">
      <c r="A86" s="103" t="s">
        <v>436</v>
      </c>
      <c r="B86" s="103">
        <v>61343</v>
      </c>
      <c r="C86"/>
      <c r="D86" t="s">
        <v>437</v>
      </c>
      <c r="E86" s="498">
        <v>19</v>
      </c>
      <c r="F86" s="498">
        <v>416</v>
      </c>
      <c r="G86" s="498">
        <v>32</v>
      </c>
      <c r="H86" s="498">
        <v>363</v>
      </c>
      <c r="I86" s="498">
        <v>76</v>
      </c>
      <c r="J86" s="498">
        <v>942</v>
      </c>
      <c r="K86" s="498">
        <v>15</v>
      </c>
      <c r="L86" s="498">
        <v>558</v>
      </c>
      <c r="O86" s="165" t="str">
        <f t="shared" si="2"/>
        <v>2021-2023</v>
      </c>
      <c r="P86" s="165">
        <f t="shared" si="3"/>
        <v>6.602254428341385E-2</v>
      </c>
      <c r="Q86" s="166"/>
      <c r="R86" s="166"/>
      <c r="S86" s="245"/>
      <c r="T86" s="166"/>
    </row>
    <row r="87" spans="1:20" x14ac:dyDescent="0.25">
      <c r="A87" s="103" t="s">
        <v>438</v>
      </c>
      <c r="B87" s="103">
        <v>61344</v>
      </c>
      <c r="C87" t="s">
        <v>292</v>
      </c>
      <c r="D87" t="s">
        <v>439</v>
      </c>
      <c r="E87" s="498">
        <v>1982</v>
      </c>
      <c r="F87" s="498">
        <v>5423</v>
      </c>
      <c r="G87" s="498">
        <v>1529</v>
      </c>
      <c r="H87" s="498">
        <v>5990</v>
      </c>
      <c r="I87" s="498">
        <v>1575</v>
      </c>
      <c r="J87" s="498">
        <v>6752</v>
      </c>
      <c r="K87" s="498">
        <v>1224</v>
      </c>
      <c r="L87" s="498">
        <v>5682</v>
      </c>
      <c r="O87" s="165" t="str">
        <f t="shared" si="2"/>
        <v>2021-2023</v>
      </c>
      <c r="P87" s="165">
        <f t="shared" si="3"/>
        <v>0.2349109856708641</v>
      </c>
    </row>
    <row r="88" spans="1:20" x14ac:dyDescent="0.25">
      <c r="A88" s="61" t="s">
        <v>165</v>
      </c>
      <c r="B88" s="61">
        <v>63301</v>
      </c>
      <c r="C88" t="s">
        <v>221</v>
      </c>
      <c r="D88" t="s">
        <v>220</v>
      </c>
      <c r="E88" s="498">
        <v>48962</v>
      </c>
      <c r="F88" s="498">
        <v>89686</v>
      </c>
      <c r="G88" s="498">
        <v>48021</v>
      </c>
      <c r="H88" s="498">
        <v>96856</v>
      </c>
      <c r="I88" s="498">
        <v>54064</v>
      </c>
      <c r="J88" s="498">
        <v>113609</v>
      </c>
      <c r="K88" s="498">
        <v>65316</v>
      </c>
      <c r="L88" s="498">
        <v>118772</v>
      </c>
      <c r="O88" s="165" t="str">
        <f t="shared" si="2"/>
        <v>2021-2023</v>
      </c>
      <c r="P88" s="165">
        <f t="shared" si="3"/>
        <v>0.50845135874764991</v>
      </c>
    </row>
    <row r="89" spans="1:20" x14ac:dyDescent="0.25">
      <c r="A89" s="61" t="s">
        <v>440</v>
      </c>
      <c r="B89" s="61">
        <v>63303</v>
      </c>
      <c r="C89" t="s">
        <v>221</v>
      </c>
      <c r="D89" t="s">
        <v>441</v>
      </c>
      <c r="E89" s="498">
        <v>12604</v>
      </c>
      <c r="F89" s="498">
        <v>23472</v>
      </c>
      <c r="G89" s="498">
        <v>14039</v>
      </c>
      <c r="H89" s="498">
        <v>25887</v>
      </c>
      <c r="I89" s="498">
        <v>14620</v>
      </c>
      <c r="J89" s="498">
        <v>27333</v>
      </c>
      <c r="K89" s="498">
        <v>14398</v>
      </c>
      <c r="L89" s="498">
        <v>27557</v>
      </c>
      <c r="O89" s="165" t="str">
        <f t="shared" si="2"/>
        <v>2021-2023</v>
      </c>
      <c r="P89" s="165">
        <f t="shared" si="3"/>
        <v>0.53303539373831665</v>
      </c>
    </row>
    <row r="90" spans="1:20" x14ac:dyDescent="0.25">
      <c r="A90" s="81" t="s">
        <v>773</v>
      </c>
      <c r="O90"/>
      <c r="P90"/>
    </row>
    <row r="91" spans="1:20" x14ac:dyDescent="0.25">
      <c r="O91"/>
      <c r="P91"/>
    </row>
    <row r="92" spans="1:20" x14ac:dyDescent="0.25">
      <c r="O92"/>
      <c r="P92"/>
    </row>
    <row r="93" spans="1:20" x14ac:dyDescent="0.25">
      <c r="D93" s="164"/>
      <c r="E93" s="164"/>
      <c r="F93" s="164"/>
      <c r="O93"/>
      <c r="P93"/>
    </row>
    <row r="94" spans="1:20" x14ac:dyDescent="0.25">
      <c r="D94" s="164"/>
      <c r="E94" s="164"/>
      <c r="F94" s="164"/>
      <c r="O94"/>
      <c r="P94"/>
    </row>
    <row r="95" spans="1:20" x14ac:dyDescent="0.25">
      <c r="D95" s="164"/>
      <c r="E95" s="164"/>
      <c r="F95" s="164"/>
      <c r="O95"/>
      <c r="P95"/>
    </row>
    <row r="96" spans="1:20" x14ac:dyDescent="0.25">
      <c r="D96" s="164"/>
      <c r="E96" s="164"/>
      <c r="F96" s="164"/>
      <c r="O96"/>
      <c r="P96"/>
    </row>
    <row r="97" spans="4:16" x14ac:dyDescent="0.25">
      <c r="D97" s="164"/>
      <c r="E97" s="164"/>
      <c r="F97" s="164"/>
      <c r="O97"/>
      <c r="P97"/>
    </row>
    <row r="98" spans="4:16" x14ac:dyDescent="0.25">
      <c r="D98" s="164"/>
      <c r="E98" s="164"/>
      <c r="F98" s="164"/>
      <c r="O98"/>
      <c r="P98"/>
    </row>
    <row r="99" spans="4:16" x14ac:dyDescent="0.25">
      <c r="D99" s="164"/>
      <c r="E99" s="164"/>
      <c r="F99" s="164"/>
      <c r="O99"/>
      <c r="P99"/>
    </row>
    <row r="100" spans="4:16" x14ac:dyDescent="0.25">
      <c r="D100" s="164"/>
      <c r="E100" s="164"/>
      <c r="F100" s="164"/>
      <c r="O100"/>
      <c r="P100"/>
    </row>
    <row r="101" spans="4:16" x14ac:dyDescent="0.25">
      <c r="D101" s="164"/>
      <c r="E101" s="164"/>
      <c r="F101" s="164"/>
      <c r="O101"/>
      <c r="P101"/>
    </row>
    <row r="102" spans="4:16" x14ac:dyDescent="0.25">
      <c r="D102" s="164"/>
      <c r="E102" s="164"/>
      <c r="F102" s="164"/>
      <c r="O102"/>
    </row>
    <row r="103" spans="4:16" x14ac:dyDescent="0.25">
      <c r="D103" s="164"/>
      <c r="E103" s="164"/>
      <c r="F103" s="164"/>
      <c r="O103"/>
    </row>
    <row r="104" spans="4:16" x14ac:dyDescent="0.25">
      <c r="D104" s="164"/>
      <c r="E104" s="164"/>
      <c r="F104" s="164"/>
      <c r="O104"/>
    </row>
    <row r="105" spans="4:16" x14ac:dyDescent="0.25">
      <c r="D105" s="164"/>
      <c r="E105" s="164"/>
      <c r="F105" s="164"/>
      <c r="O105"/>
      <c r="P105"/>
    </row>
    <row r="106" spans="4:16" x14ac:dyDescent="0.25">
      <c r="D106" s="164"/>
      <c r="E106" s="164"/>
      <c r="F106" s="164"/>
      <c r="O106"/>
      <c r="P106"/>
    </row>
    <row r="107" spans="4:16" x14ac:dyDescent="0.25">
      <c r="D107" s="164"/>
      <c r="E107" s="164"/>
      <c r="F107" s="164"/>
      <c r="O107"/>
      <c r="P107"/>
    </row>
    <row r="108" spans="4:16" x14ac:dyDescent="0.25">
      <c r="D108" s="164"/>
      <c r="E108" s="164"/>
      <c r="F108" s="164"/>
      <c r="O108"/>
      <c r="P108"/>
    </row>
    <row r="109" spans="4:16" x14ac:dyDescent="0.25">
      <c r="D109" s="164"/>
      <c r="E109" s="164"/>
      <c r="F109" s="164"/>
      <c r="O109"/>
      <c r="P109"/>
    </row>
    <row r="110" spans="4:16" x14ac:dyDescent="0.25">
      <c r="D110" s="164"/>
      <c r="E110" s="164"/>
      <c r="F110" s="164"/>
      <c r="O110"/>
      <c r="P110"/>
    </row>
    <row r="111" spans="4:16" x14ac:dyDescent="0.25">
      <c r="D111" s="164"/>
      <c r="E111" s="164"/>
      <c r="F111" s="164"/>
      <c r="O111"/>
      <c r="P111"/>
    </row>
    <row r="112" spans="4:16" x14ac:dyDescent="0.25">
      <c r="D112" s="164"/>
      <c r="E112" s="164"/>
      <c r="F112" s="164"/>
      <c r="O112"/>
      <c r="P112"/>
    </row>
    <row r="113" spans="4:16" x14ac:dyDescent="0.25">
      <c r="D113" s="164"/>
      <c r="E113" s="164"/>
      <c r="F113" s="164"/>
      <c r="O113"/>
      <c r="P113"/>
    </row>
    <row r="114" spans="4:16" x14ac:dyDescent="0.25">
      <c r="D114" s="164"/>
      <c r="E114" s="164"/>
      <c r="F114" s="164"/>
      <c r="O114"/>
      <c r="P114"/>
    </row>
    <row r="115" spans="4:16" x14ac:dyDescent="0.25">
      <c r="D115" s="164"/>
      <c r="E115" s="164"/>
      <c r="F115" s="164"/>
      <c r="O115"/>
      <c r="P115"/>
    </row>
    <row r="116" spans="4:16" x14ac:dyDescent="0.25">
      <c r="D116" s="164"/>
      <c r="E116" s="164"/>
      <c r="F116" s="164"/>
      <c r="O116"/>
      <c r="P116"/>
    </row>
    <row r="117" spans="4:16" x14ac:dyDescent="0.25">
      <c r="D117" s="164"/>
      <c r="E117" s="164"/>
      <c r="F117" s="164"/>
      <c r="O117"/>
      <c r="P117"/>
    </row>
    <row r="118" spans="4:16" x14ac:dyDescent="0.25">
      <c r="D118" s="164"/>
      <c r="E118" s="164"/>
      <c r="F118" s="164"/>
      <c r="O118"/>
      <c r="P118"/>
    </row>
    <row r="119" spans="4:16" x14ac:dyDescent="0.25">
      <c r="D119" s="164"/>
      <c r="E119" s="164"/>
      <c r="F119" s="164"/>
      <c r="O119"/>
      <c r="P119"/>
    </row>
    <row r="120" spans="4:16" x14ac:dyDescent="0.25">
      <c r="D120" s="164"/>
      <c r="E120" s="164"/>
      <c r="F120" s="164"/>
      <c r="O120"/>
      <c r="P120"/>
    </row>
    <row r="121" spans="4:16" x14ac:dyDescent="0.25">
      <c r="D121" s="164"/>
      <c r="E121" s="164"/>
      <c r="F121" s="164"/>
      <c r="O121"/>
      <c r="P121"/>
    </row>
    <row r="122" spans="4:16" x14ac:dyDescent="0.25">
      <c r="D122" s="164"/>
      <c r="E122" s="164"/>
      <c r="F122" s="164"/>
      <c r="O122"/>
      <c r="P122"/>
    </row>
    <row r="123" spans="4:16" x14ac:dyDescent="0.25">
      <c r="D123" s="164"/>
      <c r="E123" s="164"/>
      <c r="F123" s="164"/>
      <c r="O123"/>
      <c r="P123"/>
    </row>
    <row r="124" spans="4:16" x14ac:dyDescent="0.25">
      <c r="D124" s="164"/>
      <c r="E124" s="164"/>
      <c r="F124" s="164"/>
      <c r="O124"/>
      <c r="P124"/>
    </row>
    <row r="125" spans="4:16" x14ac:dyDescent="0.25">
      <c r="D125" s="164"/>
      <c r="E125" s="164"/>
      <c r="F125" s="164"/>
      <c r="O125"/>
      <c r="P125"/>
    </row>
    <row r="126" spans="4:16" x14ac:dyDescent="0.25">
      <c r="D126" s="164"/>
      <c r="E126" s="164"/>
      <c r="F126" s="164"/>
      <c r="O126"/>
      <c r="P126"/>
    </row>
    <row r="127" spans="4:16" x14ac:dyDescent="0.25">
      <c r="D127" s="164"/>
      <c r="E127" s="164"/>
      <c r="F127" s="164"/>
      <c r="O127"/>
      <c r="P127"/>
    </row>
    <row r="128" spans="4:16" x14ac:dyDescent="0.25">
      <c r="D128" s="164"/>
      <c r="E128" s="164"/>
      <c r="F128" s="164"/>
      <c r="O128"/>
      <c r="P128"/>
    </row>
    <row r="129" spans="4:16" x14ac:dyDescent="0.25">
      <c r="D129" s="164"/>
      <c r="E129" s="164"/>
      <c r="F129" s="164"/>
      <c r="O129"/>
      <c r="P129"/>
    </row>
    <row r="130" spans="4:16" x14ac:dyDescent="0.25">
      <c r="D130" s="164"/>
      <c r="E130" s="164"/>
      <c r="F130" s="164"/>
      <c r="O130"/>
      <c r="P130"/>
    </row>
    <row r="131" spans="4:16" x14ac:dyDescent="0.25">
      <c r="D131" s="164"/>
      <c r="E131" s="164"/>
      <c r="F131" s="164"/>
      <c r="O131"/>
      <c r="P131"/>
    </row>
    <row r="132" spans="4:16" x14ac:dyDescent="0.25">
      <c r="D132" s="164"/>
      <c r="E132" s="164"/>
      <c r="F132" s="164"/>
      <c r="O132"/>
      <c r="P132"/>
    </row>
    <row r="133" spans="4:16" x14ac:dyDescent="0.25">
      <c r="D133" s="164"/>
      <c r="E133" s="164"/>
      <c r="F133" s="164"/>
      <c r="O133"/>
      <c r="P133"/>
    </row>
    <row r="134" spans="4:16" x14ac:dyDescent="0.25">
      <c r="D134" s="164"/>
      <c r="E134" s="164"/>
      <c r="F134" s="164"/>
      <c r="O134"/>
      <c r="P134"/>
    </row>
    <row r="135" spans="4:16" x14ac:dyDescent="0.25">
      <c r="D135" s="164"/>
      <c r="E135" s="164"/>
      <c r="F135" s="164"/>
      <c r="O135"/>
      <c r="P135"/>
    </row>
    <row r="136" spans="4:16" x14ac:dyDescent="0.25">
      <c r="D136" s="164"/>
      <c r="E136" s="164"/>
      <c r="F136" s="164"/>
      <c r="O136"/>
      <c r="P136"/>
    </row>
    <row r="137" spans="4:16" x14ac:dyDescent="0.25">
      <c r="D137" s="164"/>
      <c r="E137" s="164"/>
      <c r="F137" s="164"/>
      <c r="O137"/>
      <c r="P137"/>
    </row>
    <row r="138" spans="4:16" x14ac:dyDescent="0.25">
      <c r="D138" s="164"/>
      <c r="E138" s="164"/>
      <c r="F138" s="164"/>
      <c r="O138"/>
      <c r="P138"/>
    </row>
    <row r="139" spans="4:16" x14ac:dyDescent="0.25">
      <c r="D139" s="164"/>
      <c r="E139" s="164"/>
      <c r="F139" s="164"/>
      <c r="O139"/>
      <c r="P139"/>
    </row>
    <row r="140" spans="4:16" x14ac:dyDescent="0.25">
      <c r="D140" s="164"/>
      <c r="E140" s="164"/>
      <c r="F140" s="164"/>
      <c r="O140"/>
      <c r="P140"/>
    </row>
    <row r="141" spans="4:16" x14ac:dyDescent="0.25">
      <c r="D141" s="164"/>
      <c r="E141" s="164"/>
      <c r="F141" s="164"/>
      <c r="O141"/>
      <c r="P141"/>
    </row>
    <row r="142" spans="4:16" x14ac:dyDescent="0.25">
      <c r="D142" s="164"/>
      <c r="E142" s="164"/>
      <c r="F142" s="164"/>
      <c r="O142"/>
      <c r="P142"/>
    </row>
    <row r="143" spans="4:16" x14ac:dyDescent="0.25">
      <c r="D143" s="164"/>
      <c r="E143" s="164"/>
      <c r="F143" s="164"/>
      <c r="O143"/>
      <c r="P143"/>
    </row>
    <row r="144" spans="4:16" x14ac:dyDescent="0.25">
      <c r="D144" s="164"/>
      <c r="E144" s="164"/>
      <c r="F144" s="164"/>
      <c r="O144"/>
      <c r="P144"/>
    </row>
    <row r="145" spans="4:16" x14ac:dyDescent="0.25">
      <c r="D145" s="164"/>
      <c r="E145" s="164"/>
      <c r="F145" s="164"/>
      <c r="O145"/>
      <c r="P145"/>
    </row>
    <row r="146" spans="4:16" x14ac:dyDescent="0.25">
      <c r="D146" s="164"/>
      <c r="E146" s="164"/>
      <c r="F146" s="164"/>
      <c r="O146"/>
      <c r="P146"/>
    </row>
    <row r="147" spans="4:16" x14ac:dyDescent="0.25">
      <c r="D147" s="164"/>
      <c r="E147" s="164"/>
      <c r="F147" s="164"/>
      <c r="O147"/>
      <c r="P147"/>
    </row>
    <row r="148" spans="4:16" x14ac:dyDescent="0.25">
      <c r="D148" s="164"/>
      <c r="E148" s="164"/>
      <c r="F148" s="164"/>
      <c r="O148"/>
      <c r="P148"/>
    </row>
    <row r="149" spans="4:16" x14ac:dyDescent="0.25">
      <c r="D149" s="164"/>
      <c r="E149" s="164"/>
      <c r="F149" s="164"/>
      <c r="O149"/>
      <c r="P149"/>
    </row>
    <row r="150" spans="4:16" x14ac:dyDescent="0.25">
      <c r="D150" s="164"/>
      <c r="E150" s="164"/>
      <c r="F150" s="164"/>
      <c r="O150"/>
      <c r="P150"/>
    </row>
    <row r="151" spans="4:16" x14ac:dyDescent="0.25">
      <c r="D151" s="164"/>
      <c r="E151" s="164"/>
      <c r="F151" s="164"/>
      <c r="O151"/>
      <c r="P151"/>
    </row>
    <row r="152" spans="4:16" x14ac:dyDescent="0.25">
      <c r="D152" s="164"/>
      <c r="E152" s="164"/>
      <c r="F152" s="164"/>
      <c r="O152"/>
      <c r="P152"/>
    </row>
    <row r="153" spans="4:16" x14ac:dyDescent="0.25">
      <c r="D153" s="164"/>
      <c r="E153" s="164"/>
      <c r="F153" s="164"/>
      <c r="O153"/>
      <c r="P153"/>
    </row>
    <row r="154" spans="4:16" x14ac:dyDescent="0.25">
      <c r="D154" s="164"/>
      <c r="E154" s="164"/>
      <c r="F154" s="164"/>
      <c r="O154"/>
      <c r="P154"/>
    </row>
    <row r="155" spans="4:16" x14ac:dyDescent="0.25">
      <c r="D155" s="164"/>
      <c r="E155" s="164"/>
      <c r="F155" s="164"/>
      <c r="O155"/>
      <c r="P155"/>
    </row>
    <row r="156" spans="4:16" x14ac:dyDescent="0.25">
      <c r="D156" s="164"/>
      <c r="E156" s="164"/>
      <c r="F156" s="164"/>
      <c r="O156"/>
      <c r="P156"/>
    </row>
    <row r="157" spans="4:16" x14ac:dyDescent="0.25">
      <c r="D157" s="164"/>
      <c r="E157" s="164"/>
      <c r="F157" s="164"/>
      <c r="O157"/>
      <c r="P157"/>
    </row>
    <row r="158" spans="4:16" x14ac:dyDescent="0.25">
      <c r="D158" s="164"/>
      <c r="E158" s="164"/>
      <c r="F158" s="164"/>
      <c r="O158"/>
      <c r="P158"/>
    </row>
    <row r="159" spans="4:16" x14ac:dyDescent="0.25">
      <c r="D159" s="164"/>
      <c r="E159" s="164"/>
      <c r="F159" s="164"/>
      <c r="O159"/>
      <c r="P159"/>
    </row>
    <row r="160" spans="4:16" x14ac:dyDescent="0.25">
      <c r="D160" s="164"/>
      <c r="E160" s="164"/>
      <c r="F160" s="164"/>
      <c r="O160"/>
      <c r="P160"/>
    </row>
    <row r="161" spans="4:16" x14ac:dyDescent="0.25">
      <c r="D161" s="164"/>
      <c r="E161" s="164"/>
      <c r="F161" s="164"/>
      <c r="O161"/>
      <c r="P161"/>
    </row>
    <row r="162" spans="4:16" x14ac:dyDescent="0.25">
      <c r="D162" s="164"/>
      <c r="E162" s="164"/>
      <c r="F162" s="164"/>
      <c r="O162"/>
      <c r="P162"/>
    </row>
    <row r="163" spans="4:16" x14ac:dyDescent="0.25">
      <c r="D163" s="164"/>
      <c r="E163" s="164"/>
      <c r="F163" s="164"/>
      <c r="O163"/>
      <c r="P163"/>
    </row>
    <row r="164" spans="4:16" x14ac:dyDescent="0.25">
      <c r="D164" s="164"/>
      <c r="E164" s="164"/>
      <c r="F164" s="164"/>
      <c r="O164"/>
      <c r="P164"/>
    </row>
    <row r="165" spans="4:16" x14ac:dyDescent="0.25">
      <c r="D165" s="164"/>
      <c r="E165" s="164"/>
      <c r="F165" s="164"/>
      <c r="O165"/>
      <c r="P165"/>
    </row>
    <row r="166" spans="4:16" x14ac:dyDescent="0.25">
      <c r="D166" s="164"/>
      <c r="E166" s="164"/>
      <c r="F166" s="164"/>
      <c r="O166"/>
      <c r="P166"/>
    </row>
    <row r="167" spans="4:16" x14ac:dyDescent="0.25">
      <c r="D167" s="164"/>
      <c r="E167" s="164"/>
      <c r="F167" s="164"/>
      <c r="O167"/>
      <c r="P167"/>
    </row>
    <row r="168" spans="4:16" x14ac:dyDescent="0.25">
      <c r="D168" s="164"/>
      <c r="E168" s="164"/>
      <c r="F168" s="164"/>
      <c r="O168"/>
      <c r="P168"/>
    </row>
    <row r="169" spans="4:16" x14ac:dyDescent="0.25">
      <c r="D169" s="164"/>
      <c r="E169" s="164"/>
      <c r="F169" s="164"/>
      <c r="O169"/>
      <c r="P169"/>
    </row>
    <row r="170" spans="4:16" x14ac:dyDescent="0.25">
      <c r="D170" s="164"/>
      <c r="E170" s="164"/>
      <c r="F170" s="164"/>
      <c r="O170"/>
      <c r="P170"/>
    </row>
    <row r="171" spans="4:16" x14ac:dyDescent="0.25">
      <c r="D171" s="164"/>
      <c r="E171" s="164"/>
      <c r="F171" s="164"/>
      <c r="O171"/>
      <c r="P171"/>
    </row>
    <row r="172" spans="4:16" x14ac:dyDescent="0.25">
      <c r="D172" s="164"/>
      <c r="E172" s="164"/>
      <c r="F172" s="164"/>
      <c r="O172"/>
      <c r="P172"/>
    </row>
    <row r="173" spans="4:16" x14ac:dyDescent="0.25">
      <c r="D173" s="164"/>
      <c r="E173" s="164"/>
      <c r="F173" s="164"/>
      <c r="O173"/>
      <c r="P173"/>
    </row>
    <row r="174" spans="4:16" x14ac:dyDescent="0.25">
      <c r="D174" s="164"/>
      <c r="E174" s="164"/>
      <c r="F174" s="164"/>
      <c r="O174"/>
      <c r="P174"/>
    </row>
    <row r="175" spans="4:16" x14ac:dyDescent="0.25">
      <c r="D175" s="164"/>
      <c r="E175" s="164"/>
      <c r="F175" s="164"/>
      <c r="O175"/>
      <c r="P175"/>
    </row>
    <row r="176" spans="4:16" x14ac:dyDescent="0.25">
      <c r="D176" s="164"/>
      <c r="E176" s="164"/>
      <c r="F176" s="164"/>
      <c r="O176"/>
      <c r="P176"/>
    </row>
    <row r="177" spans="4:16" x14ac:dyDescent="0.25">
      <c r="D177" s="164"/>
      <c r="E177" s="164"/>
      <c r="F177" s="164"/>
      <c r="O177"/>
      <c r="P177"/>
    </row>
    <row r="178" spans="4:16" x14ac:dyDescent="0.25">
      <c r="D178" s="164"/>
      <c r="E178" s="164"/>
      <c r="F178" s="164"/>
      <c r="O178"/>
      <c r="P178"/>
    </row>
    <row r="179" spans="4:16" x14ac:dyDescent="0.25">
      <c r="D179" s="164"/>
      <c r="E179" s="164"/>
      <c r="F179" s="164"/>
      <c r="O179"/>
      <c r="P179"/>
    </row>
    <row r="180" spans="4:16" x14ac:dyDescent="0.25">
      <c r="D180" s="164"/>
      <c r="E180" s="164"/>
      <c r="F180" s="164"/>
      <c r="O180"/>
      <c r="P180"/>
    </row>
    <row r="181" spans="4:16" x14ac:dyDescent="0.25">
      <c r="D181" s="164"/>
      <c r="E181" s="164"/>
      <c r="F181" s="164"/>
      <c r="O181"/>
      <c r="P181"/>
    </row>
    <row r="182" spans="4:16" x14ac:dyDescent="0.25">
      <c r="D182" s="164"/>
      <c r="E182" s="164"/>
      <c r="F182" s="164"/>
      <c r="O182"/>
      <c r="P182"/>
    </row>
    <row r="183" spans="4:16" x14ac:dyDescent="0.25">
      <c r="D183" s="164"/>
      <c r="E183" s="164"/>
      <c r="F183" s="164"/>
      <c r="O183"/>
      <c r="P183"/>
    </row>
    <row r="184" spans="4:16" x14ac:dyDescent="0.25">
      <c r="D184" s="164"/>
      <c r="E184" s="164"/>
      <c r="F184" s="164"/>
      <c r="O184"/>
      <c r="P184"/>
    </row>
    <row r="185" spans="4:16" x14ac:dyDescent="0.25">
      <c r="D185" s="164"/>
      <c r="E185" s="164"/>
      <c r="F185" s="164"/>
      <c r="O185"/>
      <c r="P185"/>
    </row>
    <row r="186" spans="4:16" x14ac:dyDescent="0.25">
      <c r="D186" s="164"/>
      <c r="E186" s="164"/>
      <c r="F186" s="164"/>
      <c r="O186"/>
      <c r="P186"/>
    </row>
    <row r="187" spans="4:16" x14ac:dyDescent="0.25">
      <c r="D187" s="164"/>
      <c r="E187" s="164"/>
      <c r="F187" s="164"/>
      <c r="O187"/>
      <c r="P187"/>
    </row>
    <row r="188" spans="4:16" x14ac:dyDescent="0.25">
      <c r="D188" s="164"/>
      <c r="E188" s="164"/>
      <c r="F188" s="164"/>
      <c r="O188"/>
      <c r="P188"/>
    </row>
    <row r="189" spans="4:16" x14ac:dyDescent="0.25">
      <c r="D189" s="164"/>
      <c r="E189" s="164"/>
      <c r="F189" s="164"/>
      <c r="O189"/>
      <c r="P189"/>
    </row>
    <row r="190" spans="4:16" x14ac:dyDescent="0.25">
      <c r="D190" s="164"/>
      <c r="E190" s="164"/>
      <c r="F190" s="164"/>
      <c r="O190"/>
      <c r="P190"/>
    </row>
    <row r="191" spans="4:16" x14ac:dyDescent="0.25">
      <c r="O191"/>
      <c r="P191"/>
    </row>
    <row r="192" spans="4:16" x14ac:dyDescent="0.25">
      <c r="O192"/>
      <c r="P192"/>
    </row>
    <row r="193" spans="15:16" x14ac:dyDescent="0.25">
      <c r="O193"/>
      <c r="P193"/>
    </row>
    <row r="194" spans="15:16" x14ac:dyDescent="0.25">
      <c r="O194"/>
      <c r="P194"/>
    </row>
    <row r="195" spans="15:16" x14ac:dyDescent="0.25">
      <c r="O195"/>
      <c r="P195"/>
    </row>
    <row r="196" spans="15:16" x14ac:dyDescent="0.25">
      <c r="O196"/>
      <c r="P196"/>
    </row>
    <row r="197" spans="15:16" x14ac:dyDescent="0.25">
      <c r="O197"/>
      <c r="P197"/>
    </row>
    <row r="198" spans="15:16" x14ac:dyDescent="0.25">
      <c r="O198"/>
      <c r="P198"/>
    </row>
    <row r="199" spans="15:16" x14ac:dyDescent="0.25">
      <c r="O199"/>
      <c r="P199"/>
    </row>
    <row r="200" spans="15:16" x14ac:dyDescent="0.25">
      <c r="O200"/>
      <c r="P200"/>
    </row>
    <row r="201" spans="15:16" x14ac:dyDescent="0.25">
      <c r="O201"/>
      <c r="P201"/>
    </row>
    <row r="202" spans="15:16" x14ac:dyDescent="0.25">
      <c r="O202"/>
      <c r="P202"/>
    </row>
    <row r="203" spans="15:16" x14ac:dyDescent="0.25">
      <c r="O203"/>
      <c r="P203"/>
    </row>
    <row r="204" spans="15:16" x14ac:dyDescent="0.25">
      <c r="O204"/>
    </row>
    <row r="205" spans="15:16" x14ac:dyDescent="0.25">
      <c r="O205"/>
    </row>
    <row r="206" spans="15:16" x14ac:dyDescent="0.25">
      <c r="O206"/>
    </row>
    <row r="207" spans="15:16" x14ac:dyDescent="0.25">
      <c r="O207"/>
    </row>
    <row r="208" spans="15:16" x14ac:dyDescent="0.25">
      <c r="O208"/>
    </row>
    <row r="209" spans="15:15" x14ac:dyDescent="0.25">
      <c r="O209"/>
    </row>
    <row r="210" spans="15:15" x14ac:dyDescent="0.25">
      <c r="O210"/>
    </row>
    <row r="211" spans="15:15" x14ac:dyDescent="0.25">
      <c r="O211"/>
    </row>
    <row r="212" spans="15:15" x14ac:dyDescent="0.25">
      <c r="O212"/>
    </row>
    <row r="213" spans="15:15" x14ac:dyDescent="0.25">
      <c r="O213"/>
    </row>
    <row r="214" spans="15:15" x14ac:dyDescent="0.25">
      <c r="O214"/>
    </row>
    <row r="215" spans="15:15" x14ac:dyDescent="0.25">
      <c r="O215"/>
    </row>
    <row r="216" spans="15:15" x14ac:dyDescent="0.25">
      <c r="O216"/>
    </row>
    <row r="217" spans="15:15" x14ac:dyDescent="0.25">
      <c r="O217"/>
    </row>
    <row r="218" spans="15:15" x14ac:dyDescent="0.25">
      <c r="O218"/>
    </row>
    <row r="219" spans="15:15" x14ac:dyDescent="0.25">
      <c r="O219"/>
    </row>
    <row r="220" spans="15:15" x14ac:dyDescent="0.25">
      <c r="O220"/>
    </row>
    <row r="221" spans="15:15" x14ac:dyDescent="0.25">
      <c r="O221"/>
    </row>
    <row r="222" spans="15:15" x14ac:dyDescent="0.25">
      <c r="O222"/>
    </row>
    <row r="223" spans="15:15" x14ac:dyDescent="0.25">
      <c r="O223"/>
    </row>
    <row r="224" spans="15:15" x14ac:dyDescent="0.25">
      <c r="O224"/>
    </row>
    <row r="225" spans="15:15" x14ac:dyDescent="0.25">
      <c r="O225"/>
    </row>
    <row r="226" spans="15:15" x14ac:dyDescent="0.25">
      <c r="O226"/>
    </row>
    <row r="227" spans="15:15" x14ac:dyDescent="0.25">
      <c r="O227"/>
    </row>
    <row r="228" spans="15:15" x14ac:dyDescent="0.25">
      <c r="O228"/>
    </row>
    <row r="229" spans="15:15" x14ac:dyDescent="0.25">
      <c r="O229"/>
    </row>
    <row r="230" spans="15:15" x14ac:dyDescent="0.25">
      <c r="O230"/>
    </row>
    <row r="231" spans="15:15" x14ac:dyDescent="0.25">
      <c r="O231"/>
    </row>
    <row r="232" spans="15:15" x14ac:dyDescent="0.25">
      <c r="O232"/>
    </row>
    <row r="233" spans="15:15" x14ac:dyDescent="0.25">
      <c r="O233"/>
    </row>
    <row r="234" spans="15:15" x14ac:dyDescent="0.25">
      <c r="O234"/>
    </row>
    <row r="235" spans="15:15" x14ac:dyDescent="0.25">
      <c r="O235"/>
    </row>
    <row r="236" spans="15:15" x14ac:dyDescent="0.25">
      <c r="O236"/>
    </row>
    <row r="237" spans="15:15" x14ac:dyDescent="0.25">
      <c r="O237"/>
    </row>
    <row r="238" spans="15:15" x14ac:dyDescent="0.25">
      <c r="O238"/>
    </row>
    <row r="239" spans="15:15" x14ac:dyDescent="0.25">
      <c r="O239"/>
    </row>
    <row r="240" spans="15:15" x14ac:dyDescent="0.25">
      <c r="O240"/>
    </row>
    <row r="241" spans="15:15" x14ac:dyDescent="0.25">
      <c r="O241"/>
    </row>
    <row r="242" spans="15:15" x14ac:dyDescent="0.25">
      <c r="O242"/>
    </row>
    <row r="243" spans="15:15" x14ac:dyDescent="0.25">
      <c r="O243"/>
    </row>
    <row r="244" spans="15:15" x14ac:dyDescent="0.25">
      <c r="O244"/>
    </row>
    <row r="245" spans="15:15" x14ac:dyDescent="0.25">
      <c r="O245"/>
    </row>
    <row r="246" spans="15:15" x14ac:dyDescent="0.25">
      <c r="O246"/>
    </row>
    <row r="247" spans="15:15" x14ac:dyDescent="0.25">
      <c r="O247"/>
    </row>
    <row r="248" spans="15:15" x14ac:dyDescent="0.25">
      <c r="O248"/>
    </row>
    <row r="249" spans="15:15" x14ac:dyDescent="0.25">
      <c r="O249"/>
    </row>
    <row r="250" spans="15:15" x14ac:dyDescent="0.25">
      <c r="O250"/>
    </row>
    <row r="251" spans="15:15" x14ac:dyDescent="0.25">
      <c r="O251"/>
    </row>
    <row r="252" spans="15:15" x14ac:dyDescent="0.25">
      <c r="O252"/>
    </row>
    <row r="253" spans="15:15" x14ac:dyDescent="0.25">
      <c r="O253"/>
    </row>
    <row r="254" spans="15:15" x14ac:dyDescent="0.25">
      <c r="O254"/>
    </row>
    <row r="255" spans="15:15" x14ac:dyDescent="0.25">
      <c r="O255"/>
    </row>
    <row r="256" spans="15:15" x14ac:dyDescent="0.25">
      <c r="O256"/>
    </row>
    <row r="257" spans="15:15" x14ac:dyDescent="0.25">
      <c r="O257"/>
    </row>
    <row r="258" spans="15:15" x14ac:dyDescent="0.25">
      <c r="O258"/>
    </row>
    <row r="259" spans="15:15" x14ac:dyDescent="0.25">
      <c r="O259"/>
    </row>
    <row r="260" spans="15:15" x14ac:dyDescent="0.25">
      <c r="O260"/>
    </row>
    <row r="261" spans="15:15" x14ac:dyDescent="0.25">
      <c r="O261"/>
    </row>
    <row r="262" spans="15:15" x14ac:dyDescent="0.25">
      <c r="O262"/>
    </row>
    <row r="263" spans="15:15" x14ac:dyDescent="0.25">
      <c r="O263"/>
    </row>
    <row r="264" spans="15:15" x14ac:dyDescent="0.25">
      <c r="O264"/>
    </row>
    <row r="265" spans="15:15" x14ac:dyDescent="0.25">
      <c r="O265"/>
    </row>
    <row r="266" spans="15:15" x14ac:dyDescent="0.25">
      <c r="O266"/>
    </row>
    <row r="267" spans="15:15" x14ac:dyDescent="0.25">
      <c r="O267"/>
    </row>
    <row r="268" spans="15:15" x14ac:dyDescent="0.25">
      <c r="O268"/>
    </row>
    <row r="269" spans="15:15" x14ac:dyDescent="0.25">
      <c r="O269"/>
    </row>
    <row r="270" spans="15:15" x14ac:dyDescent="0.25">
      <c r="O270"/>
    </row>
    <row r="271" spans="15:15" x14ac:dyDescent="0.25">
      <c r="O271"/>
    </row>
    <row r="272" spans="15:15" x14ac:dyDescent="0.25">
      <c r="O272"/>
    </row>
    <row r="273" spans="15:15" x14ac:dyDescent="0.25">
      <c r="O273"/>
    </row>
    <row r="274" spans="15:15" x14ac:dyDescent="0.25">
      <c r="O274"/>
    </row>
    <row r="275" spans="15:15" x14ac:dyDescent="0.25">
      <c r="O275"/>
    </row>
    <row r="276" spans="15:15" x14ac:dyDescent="0.25">
      <c r="O276"/>
    </row>
    <row r="277" spans="15:15" x14ac:dyDescent="0.25">
      <c r="O277"/>
    </row>
    <row r="278" spans="15:15" x14ac:dyDescent="0.25">
      <c r="O278"/>
    </row>
    <row r="279" spans="15:15" x14ac:dyDescent="0.25">
      <c r="O279"/>
    </row>
    <row r="280" spans="15:15" x14ac:dyDescent="0.25">
      <c r="O280"/>
    </row>
    <row r="281" spans="15:15" x14ac:dyDescent="0.25">
      <c r="O281"/>
    </row>
    <row r="282" spans="15:15" x14ac:dyDescent="0.25">
      <c r="O282"/>
    </row>
    <row r="283" spans="15:15" x14ac:dyDescent="0.25">
      <c r="O283"/>
    </row>
    <row r="284" spans="15:15" x14ac:dyDescent="0.25">
      <c r="O284"/>
    </row>
    <row r="285" spans="15:15" x14ac:dyDescent="0.25">
      <c r="O285"/>
    </row>
    <row r="286" spans="15:15" x14ac:dyDescent="0.25">
      <c r="O286"/>
    </row>
    <row r="287" spans="15:15" x14ac:dyDescent="0.25">
      <c r="O287"/>
    </row>
    <row r="288" spans="15:15" x14ac:dyDescent="0.25">
      <c r="O288"/>
    </row>
    <row r="289" spans="15:15" x14ac:dyDescent="0.25">
      <c r="O289"/>
    </row>
    <row r="290" spans="15:15" x14ac:dyDescent="0.25">
      <c r="O290"/>
    </row>
    <row r="291" spans="15:15" x14ac:dyDescent="0.25">
      <c r="O291"/>
    </row>
    <row r="292" spans="15:15" x14ac:dyDescent="0.25">
      <c r="O292"/>
    </row>
    <row r="293" spans="15:15" x14ac:dyDescent="0.25">
      <c r="O293"/>
    </row>
    <row r="294" spans="15:15" x14ac:dyDescent="0.25">
      <c r="O294"/>
    </row>
    <row r="295" spans="15:15" x14ac:dyDescent="0.25">
      <c r="O295"/>
    </row>
    <row r="296" spans="15:15" x14ac:dyDescent="0.25">
      <c r="O296"/>
    </row>
    <row r="297" spans="15:15" x14ac:dyDescent="0.25">
      <c r="O297"/>
    </row>
    <row r="298" spans="15:15" x14ac:dyDescent="0.25">
      <c r="O298"/>
    </row>
    <row r="299" spans="15:15" x14ac:dyDescent="0.25">
      <c r="O299"/>
    </row>
    <row r="300" spans="15:15" x14ac:dyDescent="0.25">
      <c r="O300"/>
    </row>
    <row r="301" spans="15:15" x14ac:dyDescent="0.25">
      <c r="O301"/>
    </row>
    <row r="302" spans="15:15" x14ac:dyDescent="0.25">
      <c r="O302"/>
    </row>
    <row r="303" spans="15:15" x14ac:dyDescent="0.25">
      <c r="O303"/>
    </row>
    <row r="304" spans="15:15" x14ac:dyDescent="0.25">
      <c r="O304"/>
    </row>
    <row r="305" spans="15:15" x14ac:dyDescent="0.25">
      <c r="O305"/>
    </row>
    <row r="306" spans="15:15" x14ac:dyDescent="0.25">
      <c r="O306"/>
    </row>
    <row r="307" spans="15:15" x14ac:dyDescent="0.25">
      <c r="O307"/>
    </row>
    <row r="308" spans="15:15" x14ac:dyDescent="0.25">
      <c r="O308"/>
    </row>
    <row r="309" spans="15:15" x14ac:dyDescent="0.25">
      <c r="O309"/>
    </row>
    <row r="310" spans="15:15" x14ac:dyDescent="0.25">
      <c r="O310"/>
    </row>
    <row r="311" spans="15:15" x14ac:dyDescent="0.25">
      <c r="O311"/>
    </row>
    <row r="312" spans="15:15" x14ac:dyDescent="0.25">
      <c r="O312"/>
    </row>
    <row r="313" spans="15:15" x14ac:dyDescent="0.25">
      <c r="O313"/>
    </row>
    <row r="314" spans="15:15" x14ac:dyDescent="0.25">
      <c r="O314"/>
    </row>
    <row r="315" spans="15:15" x14ac:dyDescent="0.25">
      <c r="O315"/>
    </row>
    <row r="316" spans="15:15" x14ac:dyDescent="0.25">
      <c r="O316"/>
    </row>
    <row r="317" spans="15:15" x14ac:dyDescent="0.25">
      <c r="O317"/>
    </row>
    <row r="318" spans="15:15" x14ac:dyDescent="0.25">
      <c r="O318"/>
    </row>
    <row r="319" spans="15:15" x14ac:dyDescent="0.25">
      <c r="O319"/>
    </row>
    <row r="320" spans="15:15" x14ac:dyDescent="0.25">
      <c r="O320"/>
    </row>
    <row r="321" spans="15:15" x14ac:dyDescent="0.25">
      <c r="O321"/>
    </row>
    <row r="322" spans="15:15" x14ac:dyDescent="0.25">
      <c r="O322"/>
    </row>
    <row r="323" spans="15:15" x14ac:dyDescent="0.25">
      <c r="O323"/>
    </row>
    <row r="324" spans="15:15" x14ac:dyDescent="0.25">
      <c r="O324"/>
    </row>
    <row r="325" spans="15:15" x14ac:dyDescent="0.25">
      <c r="O325"/>
    </row>
    <row r="326" spans="15:15" x14ac:dyDescent="0.25">
      <c r="O326"/>
    </row>
    <row r="327" spans="15:15" x14ac:dyDescent="0.25">
      <c r="O327"/>
    </row>
    <row r="328" spans="15:15" x14ac:dyDescent="0.25">
      <c r="O328"/>
    </row>
    <row r="329" spans="15:15" x14ac:dyDescent="0.25">
      <c r="O329"/>
    </row>
    <row r="330" spans="15:15" x14ac:dyDescent="0.25">
      <c r="O330"/>
    </row>
    <row r="331" spans="15:15" x14ac:dyDescent="0.25">
      <c r="O331"/>
    </row>
    <row r="332" spans="15:15" x14ac:dyDescent="0.25">
      <c r="O332"/>
    </row>
    <row r="333" spans="15:15" x14ac:dyDescent="0.25">
      <c r="O333"/>
    </row>
    <row r="334" spans="15:15" x14ac:dyDescent="0.25">
      <c r="O334"/>
    </row>
    <row r="335" spans="15:15" x14ac:dyDescent="0.25">
      <c r="O335"/>
    </row>
    <row r="336" spans="15:15" x14ac:dyDescent="0.25">
      <c r="O336"/>
    </row>
    <row r="337" spans="15:15" x14ac:dyDescent="0.25">
      <c r="O337"/>
    </row>
    <row r="338" spans="15:15" x14ac:dyDescent="0.25">
      <c r="O338"/>
    </row>
    <row r="339" spans="15:15" x14ac:dyDescent="0.25">
      <c r="O339"/>
    </row>
    <row r="340" spans="15:15" x14ac:dyDescent="0.25">
      <c r="O340"/>
    </row>
    <row r="341" spans="15:15" x14ac:dyDescent="0.25">
      <c r="O341"/>
    </row>
    <row r="342" spans="15:15" x14ac:dyDescent="0.25">
      <c r="O342"/>
    </row>
    <row r="343" spans="15:15" x14ac:dyDescent="0.25">
      <c r="O343"/>
    </row>
    <row r="344" spans="15:15" x14ac:dyDescent="0.25">
      <c r="O344"/>
    </row>
    <row r="345" spans="15:15" x14ac:dyDescent="0.25">
      <c r="O345"/>
    </row>
    <row r="346" spans="15:15" x14ac:dyDescent="0.25">
      <c r="O346"/>
    </row>
    <row r="347" spans="15:15" x14ac:dyDescent="0.25">
      <c r="O347"/>
    </row>
    <row r="348" spans="15:15" x14ac:dyDescent="0.25">
      <c r="O348"/>
    </row>
    <row r="349" spans="15:15" x14ac:dyDescent="0.25">
      <c r="O349"/>
    </row>
    <row r="350" spans="15:15" x14ac:dyDescent="0.25">
      <c r="O350"/>
    </row>
    <row r="351" spans="15:15" x14ac:dyDescent="0.25">
      <c r="O351"/>
    </row>
    <row r="352" spans="15:15" x14ac:dyDescent="0.25">
      <c r="O352"/>
    </row>
    <row r="353" spans="15:15" x14ac:dyDescent="0.25">
      <c r="O353"/>
    </row>
    <row r="354" spans="15:15" x14ac:dyDescent="0.25">
      <c r="O354"/>
    </row>
    <row r="355" spans="15:15" x14ac:dyDescent="0.25">
      <c r="O355"/>
    </row>
    <row r="356" spans="15:15" x14ac:dyDescent="0.25">
      <c r="O356"/>
    </row>
    <row r="357" spans="15:15" x14ac:dyDescent="0.25">
      <c r="O357"/>
    </row>
    <row r="358" spans="15:15" x14ac:dyDescent="0.25">
      <c r="O358"/>
    </row>
    <row r="359" spans="15:15" x14ac:dyDescent="0.25">
      <c r="O359"/>
    </row>
    <row r="360" spans="15:15" x14ac:dyDescent="0.25">
      <c r="O360"/>
    </row>
    <row r="361" spans="15:15" x14ac:dyDescent="0.25">
      <c r="O361"/>
    </row>
    <row r="362" spans="15:15" x14ac:dyDescent="0.25">
      <c r="O362"/>
    </row>
  </sheetData>
  <phoneticPr fontId="1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1157B-9BF4-45F7-A02B-D5F2B0F80709}">
  <sheetPr>
    <tabColor rgb="FF0070C0"/>
  </sheetPr>
  <dimension ref="A1:S29"/>
  <sheetViews>
    <sheetView zoomScale="102" zoomScaleNormal="102" workbookViewId="0">
      <selection activeCell="M22" sqref="M22"/>
    </sheetView>
  </sheetViews>
  <sheetFormatPr defaultColWidth="8.85546875" defaultRowHeight="15" x14ac:dyDescent="0.25"/>
  <cols>
    <col min="1" max="1" width="3.85546875" style="3" customWidth="1"/>
    <col min="2" max="10" width="8.85546875" style="3"/>
    <col min="11" max="11" width="36.85546875" style="3" customWidth="1"/>
    <col min="12" max="12" width="11.42578125" style="3" customWidth="1"/>
    <col min="13" max="16384" width="8.85546875" style="3"/>
  </cols>
  <sheetData>
    <row r="1" spans="1:19" ht="18.75" x14ac:dyDescent="0.3">
      <c r="A1" s="541" t="s">
        <v>35</v>
      </c>
      <c r="B1" s="541"/>
      <c r="C1" s="541"/>
      <c r="D1" s="541"/>
      <c r="E1" s="541"/>
      <c r="F1" s="541"/>
      <c r="G1" s="541"/>
      <c r="H1" s="541"/>
      <c r="I1" s="541"/>
      <c r="J1" s="541"/>
      <c r="K1" s="541"/>
      <c r="L1" s="541"/>
      <c r="M1" s="541"/>
      <c r="N1" s="541"/>
      <c r="O1" s="541"/>
    </row>
    <row r="2" spans="1:19" ht="8.4499999999999993" customHeight="1" x14ac:dyDescent="0.25"/>
    <row r="3" spans="1:19" ht="66.75" customHeight="1" x14ac:dyDescent="0.25">
      <c r="A3" s="542" t="s">
        <v>36</v>
      </c>
      <c r="B3" s="542"/>
      <c r="C3" s="542"/>
      <c r="D3" s="542"/>
      <c r="E3" s="542"/>
      <c r="F3" s="542"/>
      <c r="G3" s="542"/>
      <c r="H3" s="542"/>
      <c r="I3" s="542"/>
      <c r="J3" s="542"/>
      <c r="K3" s="542"/>
      <c r="L3" s="542"/>
      <c r="M3" s="542"/>
      <c r="N3" s="542"/>
      <c r="O3" s="542"/>
      <c r="P3" s="542"/>
      <c r="Q3" s="263"/>
      <c r="R3" s="263"/>
      <c r="S3" s="263"/>
    </row>
    <row r="5" spans="1:19" x14ac:dyDescent="0.25">
      <c r="A5" s="264" t="s">
        <v>37</v>
      </c>
    </row>
    <row r="6" spans="1:19" x14ac:dyDescent="0.25">
      <c r="A6" s="139">
        <v>1</v>
      </c>
      <c r="B6" s="3" t="s">
        <v>38</v>
      </c>
    </row>
    <row r="7" spans="1:19" x14ac:dyDescent="0.25">
      <c r="A7" s="139">
        <v>2</v>
      </c>
      <c r="B7" s="3" t="s">
        <v>39</v>
      </c>
    </row>
    <row r="8" spans="1:19" ht="15" customHeight="1" x14ac:dyDescent="0.25">
      <c r="A8" s="136">
        <v>3</v>
      </c>
      <c r="B8" s="3" t="s">
        <v>40</v>
      </c>
    </row>
    <row r="9" spans="1:19" ht="15" customHeight="1" x14ac:dyDescent="0.25">
      <c r="A9" s="265">
        <v>4</v>
      </c>
      <c r="B9" s="33" t="s">
        <v>41</v>
      </c>
      <c r="C9" s="33"/>
      <c r="D9" s="33"/>
      <c r="E9" s="33"/>
      <c r="F9" s="33"/>
      <c r="G9" s="33"/>
      <c r="H9" s="33"/>
      <c r="I9" s="33"/>
      <c r="J9" s="33"/>
      <c r="K9" s="33"/>
      <c r="L9" s="33"/>
      <c r="M9" s="33"/>
      <c r="N9" s="33"/>
      <c r="O9" s="33"/>
      <c r="P9" s="33"/>
    </row>
    <row r="10" spans="1:19" x14ac:dyDescent="0.25">
      <c r="A10" s="136">
        <v>5</v>
      </c>
      <c r="B10" s="33" t="s">
        <v>42</v>
      </c>
      <c r="C10" s="30"/>
      <c r="D10" s="30"/>
      <c r="E10" s="30"/>
      <c r="F10" s="30"/>
      <c r="G10" s="30"/>
      <c r="H10" s="30"/>
      <c r="I10" s="30"/>
      <c r="J10" s="30"/>
      <c r="K10" s="30"/>
      <c r="L10" s="30"/>
    </row>
    <row r="11" spans="1:19" x14ac:dyDescent="0.25">
      <c r="A11" s="139"/>
    </row>
    <row r="12" spans="1:19" x14ac:dyDescent="0.25">
      <c r="A12" s="266" t="s">
        <v>43</v>
      </c>
    </row>
    <row r="13" spans="1:19" x14ac:dyDescent="0.25">
      <c r="A13" s="266"/>
      <c r="B13" s="267" t="s">
        <v>44</v>
      </c>
      <c r="E13" s="3" t="s">
        <v>45</v>
      </c>
    </row>
    <row r="14" spans="1:19" x14ac:dyDescent="0.25">
      <c r="A14" s="266"/>
      <c r="C14" s="267"/>
    </row>
    <row r="15" spans="1:19" x14ac:dyDescent="0.25">
      <c r="A15" s="264" t="s">
        <v>46</v>
      </c>
    </row>
    <row r="16" spans="1:19" x14ac:dyDescent="0.25">
      <c r="B16" s="267" t="s">
        <v>47</v>
      </c>
      <c r="E16" s="3" t="s">
        <v>48</v>
      </c>
    </row>
    <row r="18" spans="1:15" x14ac:dyDescent="0.25">
      <c r="B18" s="268" t="s">
        <v>49</v>
      </c>
      <c r="L18" s="269" t="s">
        <v>50</v>
      </c>
    </row>
    <row r="19" spans="1:15" x14ac:dyDescent="0.25">
      <c r="B19" s="33" t="s">
        <v>51</v>
      </c>
      <c r="L19" s="270">
        <v>45658</v>
      </c>
    </row>
    <row r="20" spans="1:15" x14ac:dyDescent="0.25">
      <c r="B20" s="3" t="s">
        <v>52</v>
      </c>
      <c r="L20" s="270">
        <v>45726</v>
      </c>
    </row>
    <row r="21" spans="1:15" x14ac:dyDescent="0.25">
      <c r="B21" s="3" t="s">
        <v>53</v>
      </c>
      <c r="L21" s="270">
        <v>45733</v>
      </c>
    </row>
    <row r="22" spans="1:15" x14ac:dyDescent="0.25">
      <c r="B22" s="480" t="s">
        <v>54</v>
      </c>
      <c r="C22" s="480"/>
      <c r="D22" s="480"/>
      <c r="E22" s="480"/>
      <c r="F22" s="480"/>
      <c r="G22" s="480"/>
      <c r="H22" s="480"/>
      <c r="I22" s="480"/>
      <c r="J22" s="480"/>
      <c r="K22" s="480"/>
      <c r="L22" s="481">
        <v>45763</v>
      </c>
      <c r="M22" s="554" t="s">
        <v>55</v>
      </c>
      <c r="N22" s="480"/>
      <c r="O22" s="480"/>
    </row>
    <row r="23" spans="1:15" x14ac:dyDescent="0.25">
      <c r="B23" s="3" t="s">
        <v>56</v>
      </c>
      <c r="L23" s="270">
        <v>45777</v>
      </c>
    </row>
    <row r="24" spans="1:15" x14ac:dyDescent="0.25">
      <c r="B24" s="3" t="s">
        <v>57</v>
      </c>
      <c r="L24" s="270">
        <v>45778</v>
      </c>
    </row>
    <row r="26" spans="1:15" x14ac:dyDescent="0.25">
      <c r="A26" s="268" t="s">
        <v>58</v>
      </c>
    </row>
    <row r="27" spans="1:15" x14ac:dyDescent="0.25">
      <c r="A27" s="3" t="s">
        <v>59</v>
      </c>
    </row>
    <row r="28" spans="1:15" x14ac:dyDescent="0.25">
      <c r="A28" s="3" t="s">
        <v>60</v>
      </c>
    </row>
    <row r="29" spans="1:15" x14ac:dyDescent="0.25">
      <c r="A29" s="3" t="s">
        <v>61</v>
      </c>
    </row>
  </sheetData>
  <mergeCells count="2">
    <mergeCell ref="A1:O1"/>
    <mergeCell ref="A3:P3"/>
  </mergeCells>
  <hyperlinks>
    <hyperlink ref="B16" r:id="rId1" xr:uid="{B4173821-B936-4243-9B3D-D899FE440C4E}"/>
    <hyperlink ref="B13" r:id="rId2" xr:uid="{3C31BD6B-4106-4D2C-8807-6588F84652C2}"/>
  </hyperlinks>
  <pageMargins left="0.7" right="0.7" top="0.75" bottom="0.75" header="0.3" footer="0.3"/>
  <pageSetup orientation="portrait"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474AA-E724-4A5F-89AC-3248DC34024D}">
  <sheetPr>
    <tabColor theme="8" tint="0.59999389629810485"/>
  </sheetPr>
  <dimension ref="A1:U34"/>
  <sheetViews>
    <sheetView zoomScaleNormal="100" workbookViewId="0">
      <selection activeCell="K34" sqref="K34"/>
    </sheetView>
  </sheetViews>
  <sheetFormatPr defaultRowHeight="15" x14ac:dyDescent="0.25"/>
  <cols>
    <col min="1" max="1" width="12.7109375" customWidth="1"/>
    <col min="2" max="2" width="31.42578125" customWidth="1"/>
    <col min="3" max="3" width="22" customWidth="1"/>
    <col min="4" max="5" width="11.140625" customWidth="1"/>
    <col min="6" max="7" width="12" customWidth="1"/>
    <col min="8" max="8" width="13.28515625" customWidth="1"/>
    <col min="9" max="9" width="13.85546875" customWidth="1"/>
    <col min="10" max="11" width="15.140625" customWidth="1"/>
    <col min="12" max="14" width="13.28515625" customWidth="1"/>
    <col min="15" max="15" width="16" customWidth="1"/>
    <col min="16" max="16" width="13.28515625" customWidth="1"/>
    <col min="17" max="17" width="18.28515625" customWidth="1"/>
    <col min="18" max="18" width="3" customWidth="1"/>
    <col min="19" max="19" width="13.7109375" customWidth="1"/>
    <col min="20" max="20" width="16.140625" customWidth="1"/>
    <col min="21" max="21" width="11.42578125" bestFit="1" customWidth="1"/>
  </cols>
  <sheetData>
    <row r="1" spans="1:21" ht="15.75" customHeight="1" x14ac:dyDescent="0.25">
      <c r="A1" s="242"/>
      <c r="B1" s="242"/>
      <c r="C1" s="242"/>
      <c r="D1" s="271"/>
      <c r="E1" s="271"/>
      <c r="F1" s="271"/>
      <c r="G1" s="271"/>
      <c r="H1" s="271"/>
      <c r="I1" s="272" t="s">
        <v>62</v>
      </c>
      <c r="J1" s="271"/>
      <c r="K1" s="271"/>
      <c r="L1" s="271"/>
      <c r="M1" s="271"/>
      <c r="N1" s="271"/>
      <c r="O1" s="271"/>
      <c r="P1" s="271"/>
      <c r="Q1" s="273" t="s">
        <v>63</v>
      </c>
      <c r="S1" s="274"/>
      <c r="T1" s="275" t="s">
        <v>64</v>
      </c>
      <c r="U1" s="276"/>
    </row>
    <row r="2" spans="1:21" s="280" customFormat="1" ht="11.25" x14ac:dyDescent="0.2">
      <c r="A2" s="277" t="s">
        <v>65</v>
      </c>
      <c r="B2" s="277"/>
      <c r="C2" s="277"/>
      <c r="D2" s="277"/>
      <c r="E2" s="277"/>
      <c r="F2" s="278" t="s">
        <v>66</v>
      </c>
      <c r="G2" s="278" t="s">
        <v>67</v>
      </c>
      <c r="H2" s="278" t="s">
        <v>68</v>
      </c>
      <c r="I2" s="278" t="s">
        <v>69</v>
      </c>
      <c r="J2" s="278" t="s">
        <v>70</v>
      </c>
      <c r="K2" s="278" t="s">
        <v>71</v>
      </c>
      <c r="L2" s="278" t="s">
        <v>72</v>
      </c>
      <c r="M2" s="278" t="s">
        <v>73</v>
      </c>
      <c r="N2" s="278" t="s">
        <v>74</v>
      </c>
      <c r="O2" s="278" t="s">
        <v>75</v>
      </c>
      <c r="P2" s="278" t="s">
        <v>76</v>
      </c>
      <c r="Q2" s="279" t="s">
        <v>77</v>
      </c>
      <c r="S2" s="279" t="s">
        <v>78</v>
      </c>
      <c r="T2" s="279" t="s">
        <v>79</v>
      </c>
      <c r="U2" s="279" t="s">
        <v>80</v>
      </c>
    </row>
    <row r="3" spans="1:21" s="280" customFormat="1" ht="11.25" customHeight="1" x14ac:dyDescent="0.2">
      <c r="A3" s="281" t="s">
        <v>81</v>
      </c>
      <c r="B3" s="441"/>
      <c r="C3" s="441"/>
      <c r="D3" s="282" t="s">
        <v>82</v>
      </c>
      <c r="E3" s="283"/>
      <c r="F3" s="284" t="s">
        <v>83</v>
      </c>
      <c r="G3" s="284"/>
      <c r="H3" s="285" t="s">
        <v>84</v>
      </c>
      <c r="I3" s="285" t="s">
        <v>84</v>
      </c>
      <c r="J3" s="286" t="s">
        <v>85</v>
      </c>
      <c r="K3" s="286" t="s">
        <v>85</v>
      </c>
      <c r="L3" s="285" t="s">
        <v>86</v>
      </c>
      <c r="M3" s="286" t="s">
        <v>86</v>
      </c>
      <c r="N3" s="286" t="s">
        <v>86</v>
      </c>
      <c r="O3" s="285" t="s">
        <v>87</v>
      </c>
      <c r="P3" s="286" t="s">
        <v>86</v>
      </c>
      <c r="Q3" s="287" t="s">
        <v>86</v>
      </c>
      <c r="S3" s="288" t="s">
        <v>88</v>
      </c>
      <c r="T3" s="287" t="s">
        <v>89</v>
      </c>
      <c r="U3" s="287" t="s">
        <v>86</v>
      </c>
    </row>
    <row r="4" spans="1:21" s="280" customFormat="1" ht="11.25" customHeight="1" x14ac:dyDescent="0.25">
      <c r="A4" s="289"/>
      <c r="B4" s="289"/>
      <c r="C4" s="289"/>
      <c r="D4" s="290"/>
      <c r="E4" s="291"/>
      <c r="F4" s="292" t="s">
        <v>90</v>
      </c>
      <c r="G4" s="292"/>
      <c r="H4" s="293" t="s">
        <v>91</v>
      </c>
      <c r="I4" s="293" t="s">
        <v>92</v>
      </c>
      <c r="J4" s="293" t="s">
        <v>93</v>
      </c>
      <c r="K4" s="293" t="s">
        <v>94</v>
      </c>
      <c r="L4" s="293" t="s">
        <v>95</v>
      </c>
      <c r="M4" s="293" t="s">
        <v>96</v>
      </c>
      <c r="N4" s="293" t="s">
        <v>97</v>
      </c>
      <c r="O4" s="293" t="s">
        <v>98</v>
      </c>
      <c r="P4" s="293" t="s">
        <v>99</v>
      </c>
      <c r="Q4" s="294" t="s">
        <v>100</v>
      </c>
      <c r="S4" s="294" t="s">
        <v>101</v>
      </c>
      <c r="T4" s="295" t="s">
        <v>102</v>
      </c>
      <c r="U4" s="294" t="s">
        <v>103</v>
      </c>
    </row>
    <row r="5" spans="1:21" x14ac:dyDescent="0.25">
      <c r="A5" s="296" t="s">
        <v>104</v>
      </c>
      <c r="B5" s="297"/>
      <c r="C5" s="297"/>
      <c r="D5" s="297" t="s">
        <v>105</v>
      </c>
      <c r="E5" s="297" t="s">
        <v>106</v>
      </c>
      <c r="F5" s="297" t="s">
        <v>107</v>
      </c>
      <c r="G5" s="297" t="s">
        <v>107</v>
      </c>
      <c r="H5" s="297" t="s">
        <v>108</v>
      </c>
      <c r="I5" s="297" t="s">
        <v>109</v>
      </c>
      <c r="J5" s="297"/>
      <c r="K5" s="297"/>
      <c r="L5" s="297" t="s">
        <v>110</v>
      </c>
      <c r="M5" s="297" t="s">
        <v>110</v>
      </c>
      <c r="N5" s="297"/>
      <c r="O5" s="297"/>
      <c r="P5" s="297" t="s">
        <v>111</v>
      </c>
      <c r="Q5" s="298" t="s">
        <v>112</v>
      </c>
      <c r="S5" s="298" t="s">
        <v>113</v>
      </c>
      <c r="T5" s="298" t="s">
        <v>114</v>
      </c>
      <c r="U5" s="298" t="s">
        <v>115</v>
      </c>
    </row>
    <row r="6" spans="1:21" x14ac:dyDescent="0.25">
      <c r="A6" s="296" t="s">
        <v>116</v>
      </c>
      <c r="B6" s="297" t="s">
        <v>117</v>
      </c>
      <c r="C6" s="297" t="s">
        <v>118</v>
      </c>
      <c r="D6" s="297" t="s">
        <v>119</v>
      </c>
      <c r="E6" s="297" t="s">
        <v>120</v>
      </c>
      <c r="F6" s="297" t="s">
        <v>121</v>
      </c>
      <c r="G6" s="297" t="s">
        <v>121</v>
      </c>
      <c r="H6" s="297" t="s">
        <v>122</v>
      </c>
      <c r="I6" s="297" t="s">
        <v>123</v>
      </c>
      <c r="J6" s="297" t="s">
        <v>110</v>
      </c>
      <c r="K6" s="297" t="s">
        <v>115</v>
      </c>
      <c r="L6" s="297" t="s">
        <v>124</v>
      </c>
      <c r="M6" s="297" t="s">
        <v>123</v>
      </c>
      <c r="N6" s="297" t="s">
        <v>108</v>
      </c>
      <c r="O6" s="297" t="s">
        <v>115</v>
      </c>
      <c r="P6" s="297" t="s">
        <v>125</v>
      </c>
      <c r="Q6" s="298" t="s">
        <v>125</v>
      </c>
      <c r="S6" s="298" t="s">
        <v>126</v>
      </c>
      <c r="T6" s="298" t="s">
        <v>127</v>
      </c>
      <c r="U6" s="298" t="s">
        <v>128</v>
      </c>
    </row>
    <row r="7" spans="1:21" ht="15" customHeight="1" x14ac:dyDescent="0.25">
      <c r="A7" s="299" t="s">
        <v>129</v>
      </c>
      <c r="B7" s="300"/>
      <c r="C7" s="300"/>
      <c r="D7" s="300" t="s">
        <v>130</v>
      </c>
      <c r="E7" s="300" t="s">
        <v>129</v>
      </c>
      <c r="F7" s="300" t="s">
        <v>131</v>
      </c>
      <c r="G7" s="300" t="s">
        <v>132</v>
      </c>
      <c r="H7" s="300" t="s">
        <v>133</v>
      </c>
      <c r="I7" s="300" t="s">
        <v>133</v>
      </c>
      <c r="J7" s="300" t="s">
        <v>124</v>
      </c>
      <c r="K7" s="300" t="s">
        <v>124</v>
      </c>
      <c r="L7" s="300" t="s">
        <v>134</v>
      </c>
      <c r="M7" s="300" t="s">
        <v>135</v>
      </c>
      <c r="N7" s="300" t="s">
        <v>133</v>
      </c>
      <c r="O7" s="300" t="s">
        <v>136</v>
      </c>
      <c r="P7" s="300" t="s">
        <v>137</v>
      </c>
      <c r="Q7" s="301" t="s">
        <v>137</v>
      </c>
      <c r="S7" s="301" t="s">
        <v>138</v>
      </c>
      <c r="T7" s="301" t="s">
        <v>139</v>
      </c>
      <c r="U7" s="301" t="s">
        <v>139</v>
      </c>
    </row>
    <row r="8" spans="1:21" x14ac:dyDescent="0.25">
      <c r="A8" s="302" t="s">
        <v>140</v>
      </c>
      <c r="B8" s="442" t="str">
        <f>VLOOKUP($A8,'Fed Bs Rt+IME+GME+VBP+RAA+HAC'!$C$5:$E$89,2,FALSE)</f>
        <v>North Colorado Medical Center</v>
      </c>
      <c r="C8" s="442" t="str">
        <f>VLOOKUP($A8,'Fed Bs Rt+IME+GME+VBP+RAA+HAC'!$C$5:$E$89,3,FALSE)</f>
        <v>Banner Health</v>
      </c>
      <c r="D8" s="303" t="s">
        <v>141</v>
      </c>
      <c r="E8" s="303">
        <v>774828</v>
      </c>
      <c r="F8" s="304">
        <v>44927</v>
      </c>
      <c r="G8" s="304">
        <v>45291</v>
      </c>
      <c r="H8" s="305">
        <v>10864263</v>
      </c>
      <c r="I8" s="305">
        <v>0</v>
      </c>
      <c r="J8" s="305">
        <v>432247577</v>
      </c>
      <c r="K8" s="305">
        <v>979526741</v>
      </c>
      <c r="L8" s="306">
        <f>J8/K8</f>
        <v>0.44128205888357674</v>
      </c>
      <c r="M8" s="307">
        <f>I8*L8</f>
        <v>0</v>
      </c>
      <c r="N8" s="308">
        <f>H8+M8</f>
        <v>10864263</v>
      </c>
      <c r="O8" s="309">
        <v>8204</v>
      </c>
      <c r="P8" s="310">
        <f>N8/O8</f>
        <v>1324.2641394441737</v>
      </c>
      <c r="Q8" s="311">
        <f>P8*0.1</f>
        <v>132.42641394441736</v>
      </c>
      <c r="S8" s="309">
        <v>39497</v>
      </c>
      <c r="T8" s="309">
        <v>442</v>
      </c>
      <c r="U8" s="308">
        <f>SUM(S8:T8)</f>
        <v>39939</v>
      </c>
    </row>
    <row r="9" spans="1:21" x14ac:dyDescent="0.25">
      <c r="A9" s="302" t="s">
        <v>142</v>
      </c>
      <c r="B9" s="442" t="str">
        <f>VLOOKUP($A9,'Fed Bs Rt+IME+GME+VBP+RAA+HAC'!$C$5:$E$89,2,FALSE)</f>
        <v>Poudre Valley Hospital</v>
      </c>
      <c r="C9" s="442" t="str">
        <f>VLOOKUP($A9,'Fed Bs Rt+IME+GME+VBP+RAA+HAC'!$C$5:$E$89,3,FALSE)</f>
        <v>UCHealth</v>
      </c>
      <c r="D9" s="312" t="s">
        <v>141</v>
      </c>
      <c r="E9" s="303">
        <v>791641</v>
      </c>
      <c r="F9" s="304">
        <v>45108</v>
      </c>
      <c r="G9" s="304">
        <v>45473</v>
      </c>
      <c r="H9" s="313">
        <v>7744698</v>
      </c>
      <c r="I9" s="313">
        <v>1743679</v>
      </c>
      <c r="J9" s="305">
        <v>730665802</v>
      </c>
      <c r="K9" s="305">
        <v>2678388091</v>
      </c>
      <c r="L9" s="306">
        <f t="shared" ref="L9:L30" si="0">J9/K9</f>
        <v>0.27280057152852688</v>
      </c>
      <c r="M9" s="307">
        <f>I9*L9</f>
        <v>475676.62776229024</v>
      </c>
      <c r="N9" s="308">
        <f>H9+M9</f>
        <v>8220374.6277622906</v>
      </c>
      <c r="O9" s="314">
        <v>12579</v>
      </c>
      <c r="P9" s="310">
        <f t="shared" ref="P9:P30" si="1">N9/O9</f>
        <v>653.49985116164169</v>
      </c>
      <c r="Q9" s="311">
        <f t="shared" ref="Q9:Q30" si="2">P9*0.1</f>
        <v>65.349985116164177</v>
      </c>
      <c r="S9" s="314">
        <v>65635</v>
      </c>
      <c r="T9" s="314">
        <v>814</v>
      </c>
      <c r="U9" s="308">
        <f t="shared" ref="U9:U30" si="3">SUM(S9:T9)</f>
        <v>66449</v>
      </c>
    </row>
    <row r="10" spans="1:21" x14ac:dyDescent="0.25">
      <c r="A10" s="302" t="s">
        <v>143</v>
      </c>
      <c r="B10" s="442" t="str">
        <f>VLOOKUP($A10,'Fed Bs Rt+IME+GME+VBP+RAA+HAC'!$C$5:$E$89,2,FALSE)</f>
        <v>Denver Health Medical Center</v>
      </c>
      <c r="C10" s="442" t="str">
        <f>VLOOKUP($A10,'Fed Bs Rt+IME+GME+VBP+RAA+HAC'!$C$5:$E$89,3,FALSE)</f>
        <v xml:space="preserve"> </v>
      </c>
      <c r="D10" s="303" t="s">
        <v>141</v>
      </c>
      <c r="E10" s="303">
        <v>776866</v>
      </c>
      <c r="F10" s="304">
        <v>44927</v>
      </c>
      <c r="G10" s="304">
        <v>45291</v>
      </c>
      <c r="H10" s="313">
        <v>8943973</v>
      </c>
      <c r="I10" s="313">
        <v>16287806</v>
      </c>
      <c r="J10" s="305">
        <v>1260067827</v>
      </c>
      <c r="K10" s="305">
        <v>3371677739</v>
      </c>
      <c r="L10" s="306">
        <f t="shared" si="0"/>
        <v>0.37372131162621769</v>
      </c>
      <c r="M10" s="307">
        <f t="shared" ref="M10:M30" si="4">I10*L10</f>
        <v>6087100.2218333781</v>
      </c>
      <c r="N10" s="308">
        <f t="shared" ref="N10:N30" si="5">H10+M10</f>
        <v>15031073.221833378</v>
      </c>
      <c r="O10" s="314">
        <v>20637</v>
      </c>
      <c r="P10" s="310">
        <f t="shared" si="1"/>
        <v>728.35553723086582</v>
      </c>
      <c r="Q10" s="311">
        <f t="shared" si="2"/>
        <v>72.835553723086591</v>
      </c>
      <c r="S10" s="314">
        <v>125694</v>
      </c>
      <c r="T10" s="314">
        <v>3502</v>
      </c>
      <c r="U10" s="308">
        <f t="shared" si="3"/>
        <v>129196</v>
      </c>
    </row>
    <row r="11" spans="1:21" x14ac:dyDescent="0.25">
      <c r="A11" s="302" t="s">
        <v>144</v>
      </c>
      <c r="B11" s="442" t="str">
        <f>VLOOKUP($A11,'Fed Bs Rt+IME+GME+VBP+RAA+HAC'!$C$5:$E$89,2,FALSE)</f>
        <v>Centura St. Mary-Corwin Hospital</v>
      </c>
      <c r="C11" s="442" t="str">
        <f>VLOOKUP($A11,'Fed Bs Rt+IME+GME+VBP+RAA+HAC'!$C$5:$E$89,3,FALSE)</f>
        <v>Commonspirit Health</v>
      </c>
      <c r="D11" s="312" t="s">
        <v>141</v>
      </c>
      <c r="E11" s="303">
        <v>792799</v>
      </c>
      <c r="F11" s="304">
        <v>45108</v>
      </c>
      <c r="G11" s="304">
        <v>45473</v>
      </c>
      <c r="H11" s="313">
        <v>2582466</v>
      </c>
      <c r="I11" s="313">
        <v>3407961</v>
      </c>
      <c r="J11" s="313">
        <v>155063617</v>
      </c>
      <c r="K11" s="313">
        <v>759511135</v>
      </c>
      <c r="L11" s="306">
        <f t="shared" si="0"/>
        <v>0.20416240112134762</v>
      </c>
      <c r="M11" s="307">
        <f t="shared" si="4"/>
        <v>695777.50068790896</v>
      </c>
      <c r="N11" s="308">
        <f t="shared" si="5"/>
        <v>3278243.5006879088</v>
      </c>
      <c r="O11" s="314">
        <v>1981</v>
      </c>
      <c r="P11" s="310">
        <f t="shared" si="1"/>
        <v>1654.8427565309989</v>
      </c>
      <c r="Q11" s="311">
        <f t="shared" si="2"/>
        <v>165.4842756530999</v>
      </c>
      <c r="S11" s="314">
        <v>8380</v>
      </c>
      <c r="T11" s="314">
        <v>0</v>
      </c>
      <c r="U11" s="308">
        <f t="shared" si="3"/>
        <v>8380</v>
      </c>
    </row>
    <row r="12" spans="1:21" x14ac:dyDescent="0.25">
      <c r="A12" s="302" t="s">
        <v>145</v>
      </c>
      <c r="B12" s="442" t="str">
        <f>VLOOKUP($A12,'Fed Bs Rt+IME+GME+VBP+RAA+HAC'!$C$5:$E$89,2,FALSE)</f>
        <v>Presbyterian/St. Luke's Medical Center</v>
      </c>
      <c r="C12" s="442" t="str">
        <f>VLOOKUP($A12,'Fed Bs Rt+IME+GME+VBP+RAA+HAC'!$C$5:$E$89,3,FALSE)</f>
        <v>HealthONE</v>
      </c>
      <c r="D12" s="303" t="s">
        <v>141</v>
      </c>
      <c r="E12" s="303">
        <v>795199</v>
      </c>
      <c r="F12" s="304">
        <v>44805</v>
      </c>
      <c r="G12" s="304">
        <v>45169</v>
      </c>
      <c r="H12" s="313">
        <v>909735</v>
      </c>
      <c r="I12" s="313">
        <v>843678</v>
      </c>
      <c r="J12" s="313">
        <v>3256581228</v>
      </c>
      <c r="K12" s="313">
        <v>5038487487</v>
      </c>
      <c r="L12" s="306">
        <f t="shared" si="0"/>
        <v>0.64634103714704727</v>
      </c>
      <c r="M12" s="307">
        <f t="shared" si="4"/>
        <v>545303.71353814658</v>
      </c>
      <c r="N12" s="308">
        <f t="shared" si="5"/>
        <v>1455038.7135381466</v>
      </c>
      <c r="O12" s="315">
        <v>9496</v>
      </c>
      <c r="P12" s="310">
        <f t="shared" si="1"/>
        <v>153.22648626138866</v>
      </c>
      <c r="Q12" s="311">
        <f t="shared" si="2"/>
        <v>15.322648626138866</v>
      </c>
      <c r="S12" s="315">
        <v>82369</v>
      </c>
      <c r="T12" s="315">
        <v>421</v>
      </c>
      <c r="U12" s="308">
        <f t="shared" si="3"/>
        <v>82790</v>
      </c>
    </row>
    <row r="13" spans="1:21" x14ac:dyDescent="0.25">
      <c r="A13" s="302" t="s">
        <v>146</v>
      </c>
      <c r="B13" s="442" t="str">
        <f>VLOOKUP($A13,'Fed Bs Rt+IME+GME+VBP+RAA+HAC'!$C$5:$E$89,2,FALSE)</f>
        <v>Centura St. Anthony Hospital</v>
      </c>
      <c r="C13" s="442" t="str">
        <f>VLOOKUP($A13,'Fed Bs Rt+IME+GME+VBP+RAA+HAC'!$C$5:$E$89,3,FALSE)</f>
        <v>Commonspirit Health</v>
      </c>
      <c r="D13" s="312" t="s">
        <v>141</v>
      </c>
      <c r="E13" s="303">
        <v>793800</v>
      </c>
      <c r="F13" s="304">
        <v>45108</v>
      </c>
      <c r="G13" s="304">
        <v>45473</v>
      </c>
      <c r="H13" s="313">
        <v>146</v>
      </c>
      <c r="I13" s="313">
        <v>1260</v>
      </c>
      <c r="J13" s="313">
        <v>1777223724</v>
      </c>
      <c r="K13" s="313">
        <v>2916522792</v>
      </c>
      <c r="L13" s="306">
        <f t="shared" si="0"/>
        <v>0.60936390720995259</v>
      </c>
      <c r="M13" s="307">
        <f t="shared" si="4"/>
        <v>767.79852308454031</v>
      </c>
      <c r="N13" s="308">
        <f t="shared" si="5"/>
        <v>913.79852308454031</v>
      </c>
      <c r="O13" s="314">
        <v>14062</v>
      </c>
      <c r="P13" s="310">
        <f t="shared" si="1"/>
        <v>6.498353883405919E-2</v>
      </c>
      <c r="Q13" s="311">
        <f t="shared" si="2"/>
        <v>6.4983538834059197E-3</v>
      </c>
      <c r="S13" s="314">
        <v>78133</v>
      </c>
      <c r="T13" s="314">
        <v>0</v>
      </c>
      <c r="U13" s="308">
        <f t="shared" si="3"/>
        <v>78133</v>
      </c>
    </row>
    <row r="14" spans="1:21" x14ac:dyDescent="0.25">
      <c r="A14" s="302" t="s">
        <v>147</v>
      </c>
      <c r="B14" s="442" t="str">
        <f>VLOOKUP($A14,'Fed Bs Rt+IME+GME+VBP+RAA+HAC'!$C$5:$E$89,2,FALSE)</f>
        <v>Parkview Medical Center</v>
      </c>
      <c r="C14" s="442" t="str">
        <f>VLOOKUP($A14,'Fed Bs Rt+IME+GME+VBP+RAA+HAC'!$C$5:$E$89,3,FALSE)</f>
        <v>UCHealth</v>
      </c>
      <c r="D14" s="303" t="s">
        <v>141</v>
      </c>
      <c r="E14" s="303">
        <v>791642</v>
      </c>
      <c r="F14" s="304">
        <v>45108</v>
      </c>
      <c r="G14" s="304">
        <v>45473</v>
      </c>
      <c r="H14" s="313">
        <v>6726347</v>
      </c>
      <c r="I14" s="313">
        <v>3151728</v>
      </c>
      <c r="J14" s="313">
        <v>1320538298</v>
      </c>
      <c r="K14" s="313">
        <v>3106588514</v>
      </c>
      <c r="L14" s="306">
        <f t="shared" si="0"/>
        <v>0.42507666916584758</v>
      </c>
      <c r="M14" s="307">
        <f t="shared" si="4"/>
        <v>1339726.0403567385</v>
      </c>
      <c r="N14" s="308">
        <f t="shared" si="5"/>
        <v>8066073.0403567385</v>
      </c>
      <c r="O14" s="314">
        <v>13350</v>
      </c>
      <c r="P14" s="310">
        <f t="shared" si="1"/>
        <v>604.2002277420778</v>
      </c>
      <c r="Q14" s="311">
        <f t="shared" si="2"/>
        <v>60.42002277420778</v>
      </c>
      <c r="S14" s="314">
        <v>66820</v>
      </c>
      <c r="T14" s="314">
        <v>0</v>
      </c>
      <c r="U14" s="308">
        <f t="shared" si="3"/>
        <v>66820</v>
      </c>
    </row>
    <row r="15" spans="1:21" x14ac:dyDescent="0.25">
      <c r="A15" s="302" t="s">
        <v>148</v>
      </c>
      <c r="B15" s="442" t="str">
        <f>VLOOKUP($A15,'Fed Bs Rt+IME+GME+VBP+RAA+HAC'!$C$5:$E$89,2,FALSE)</f>
        <v>Memorial Hospital Central</v>
      </c>
      <c r="C15" s="442" t="str">
        <f>VLOOKUP($A15,'Fed Bs Rt+IME+GME+VBP+RAA+HAC'!$C$5:$E$89,3,FALSE)</f>
        <v>UCHealth</v>
      </c>
      <c r="D15" s="312" t="s">
        <v>141</v>
      </c>
      <c r="E15" s="303">
        <v>793192</v>
      </c>
      <c r="F15" s="304">
        <v>45108</v>
      </c>
      <c r="G15" s="304">
        <v>45473</v>
      </c>
      <c r="H15" s="313">
        <v>192427</v>
      </c>
      <c r="I15" s="313">
        <v>1086631</v>
      </c>
      <c r="J15" s="313">
        <v>2931562250</v>
      </c>
      <c r="K15" s="313">
        <v>6914225568</v>
      </c>
      <c r="L15" s="306">
        <f t="shared" si="0"/>
        <v>0.42398996404856659</v>
      </c>
      <c r="M15" s="307">
        <f t="shared" si="4"/>
        <v>460720.63862405799</v>
      </c>
      <c r="N15" s="308">
        <f t="shared" si="5"/>
        <v>653147.63862405799</v>
      </c>
      <c r="O15" s="314">
        <v>28956</v>
      </c>
      <c r="P15" s="310">
        <f t="shared" si="1"/>
        <v>22.556556106646568</v>
      </c>
      <c r="Q15" s="311">
        <f t="shared" si="2"/>
        <v>2.255655610664657</v>
      </c>
      <c r="S15" s="314">
        <v>139712</v>
      </c>
      <c r="T15" s="314">
        <v>2157</v>
      </c>
      <c r="U15" s="308">
        <f t="shared" si="3"/>
        <v>141869</v>
      </c>
    </row>
    <row r="16" spans="1:21" x14ac:dyDescent="0.25">
      <c r="A16" s="302" t="s">
        <v>149</v>
      </c>
      <c r="B16" s="442" t="str">
        <f>VLOOKUP($A16,'Fed Bs Rt+IME+GME+VBP+RAA+HAC'!$C$5:$E$89,2,FALSE)</f>
        <v>St. Mary's Hospital &amp; Medical Center, Inc.</v>
      </c>
      <c r="C16" s="442" t="str">
        <f>VLOOKUP($A16,'Fed Bs Rt+IME+GME+VBP+RAA+HAC'!$C$5:$E$89,3,FALSE)</f>
        <v>Intermountain (formerly SCL Health)</v>
      </c>
      <c r="D16" s="303" t="s">
        <v>141</v>
      </c>
      <c r="E16" s="303">
        <v>795200</v>
      </c>
      <c r="F16" s="304">
        <v>44927</v>
      </c>
      <c r="G16" s="304">
        <v>45291</v>
      </c>
      <c r="H16" s="313">
        <v>6737594</v>
      </c>
      <c r="I16" s="313">
        <v>4566591</v>
      </c>
      <c r="J16" s="313">
        <v>917437194</v>
      </c>
      <c r="K16" s="313">
        <v>1875437913</v>
      </c>
      <c r="L16" s="306">
        <f t="shared" si="0"/>
        <v>0.48918558574538107</v>
      </c>
      <c r="M16" s="307">
        <f t="shared" si="4"/>
        <v>2233910.4931945857</v>
      </c>
      <c r="N16" s="308">
        <f t="shared" si="5"/>
        <v>8971504.4931945857</v>
      </c>
      <c r="O16" s="314">
        <v>12043</v>
      </c>
      <c r="P16" s="310">
        <f t="shared" si="1"/>
        <v>744.95594894914768</v>
      </c>
      <c r="Q16" s="311">
        <f t="shared" si="2"/>
        <v>74.495594894914774</v>
      </c>
      <c r="S16" s="314">
        <v>63890</v>
      </c>
      <c r="T16" s="314">
        <v>918</v>
      </c>
      <c r="U16" s="308">
        <f t="shared" si="3"/>
        <v>64808</v>
      </c>
    </row>
    <row r="17" spans="1:21" x14ac:dyDescent="0.25">
      <c r="A17" s="302" t="s">
        <v>150</v>
      </c>
      <c r="B17" s="442" t="str">
        <f>VLOOKUP($A17,'Fed Bs Rt+IME+GME+VBP+RAA+HAC'!$C$5:$E$89,2,FALSE)</f>
        <v>University of Colorado Hospital</v>
      </c>
      <c r="C17" s="442" t="str">
        <f>VLOOKUP($A17,'Fed Bs Rt+IME+GME+VBP+RAA+HAC'!$C$5:$E$89,3,FALSE)</f>
        <v>UCHealth</v>
      </c>
      <c r="D17" s="312" t="s">
        <v>141</v>
      </c>
      <c r="E17" s="303">
        <v>791643</v>
      </c>
      <c r="F17" s="304">
        <v>45108</v>
      </c>
      <c r="G17" s="304">
        <v>45473</v>
      </c>
      <c r="H17" s="313">
        <v>10082381</v>
      </c>
      <c r="I17" s="313">
        <v>59722498</v>
      </c>
      <c r="J17" s="313">
        <v>6495999688</v>
      </c>
      <c r="K17" s="313">
        <v>13971510994</v>
      </c>
      <c r="L17" s="306">
        <f t="shared" si="0"/>
        <v>0.46494611003703729</v>
      </c>
      <c r="M17" s="307">
        <f t="shared" si="4"/>
        <v>27767743.126794741</v>
      </c>
      <c r="N17" s="308">
        <f t="shared" si="5"/>
        <v>37850124.126794741</v>
      </c>
      <c r="O17" s="314">
        <v>36321</v>
      </c>
      <c r="P17" s="310">
        <f t="shared" si="1"/>
        <v>1042.1002760605363</v>
      </c>
      <c r="Q17" s="311">
        <f t="shared" si="2"/>
        <v>104.21002760605364</v>
      </c>
      <c r="S17" s="314">
        <v>245577</v>
      </c>
      <c r="T17" s="314">
        <v>2064</v>
      </c>
      <c r="U17" s="308">
        <f t="shared" si="3"/>
        <v>247641</v>
      </c>
    </row>
    <row r="18" spans="1:21" x14ac:dyDescent="0.25">
      <c r="A18" s="302" t="s">
        <v>151</v>
      </c>
      <c r="B18" s="442" t="str">
        <f>VLOOKUP($A18,'Fed Bs Rt+IME+GME+VBP+RAA+HAC'!$C$5:$E$89,2,FALSE)</f>
        <v>St. Joseph Hospital</v>
      </c>
      <c r="C18" s="442" t="str">
        <f>VLOOKUP($A18,'Fed Bs Rt+IME+GME+VBP+RAA+HAC'!$C$5:$E$89,3,FALSE)</f>
        <v>Intermountain (formerly SCL Health)</v>
      </c>
      <c r="D18" s="303" t="s">
        <v>141</v>
      </c>
      <c r="E18" s="303">
        <v>776183</v>
      </c>
      <c r="F18" s="304">
        <v>44927</v>
      </c>
      <c r="G18" s="304">
        <v>45291</v>
      </c>
      <c r="H18" s="313">
        <v>4091283</v>
      </c>
      <c r="I18" s="313">
        <v>24100561</v>
      </c>
      <c r="J18" s="313">
        <v>1642216206</v>
      </c>
      <c r="K18" s="313">
        <v>3167577060</v>
      </c>
      <c r="L18" s="306">
        <f t="shared" si="0"/>
        <v>0.51844554209519378</v>
      </c>
      <c r="M18" s="307">
        <f t="shared" si="4"/>
        <v>12494828.412443286</v>
      </c>
      <c r="N18" s="308">
        <f t="shared" si="5"/>
        <v>16586111.412443286</v>
      </c>
      <c r="O18" s="314">
        <v>16006</v>
      </c>
      <c r="P18" s="310">
        <f t="shared" si="1"/>
        <v>1036.2433720132003</v>
      </c>
      <c r="Q18" s="311">
        <f t="shared" si="2"/>
        <v>103.62433720132003</v>
      </c>
      <c r="S18" s="314">
        <v>79140</v>
      </c>
      <c r="T18" s="314">
        <v>3335</v>
      </c>
      <c r="U18" s="308">
        <f t="shared" si="3"/>
        <v>82475</v>
      </c>
    </row>
    <row r="19" spans="1:21" x14ac:dyDescent="0.25">
      <c r="A19" s="302" t="s">
        <v>152</v>
      </c>
      <c r="B19" s="442" t="str">
        <f>VLOOKUP($A19,'Fed Bs Rt+IME+GME+VBP+RAA+HAC'!$C$5:$E$89,2,FALSE)</f>
        <v>Centura Penrose-St. Francis Hospital</v>
      </c>
      <c r="C19" s="442" t="str">
        <f>VLOOKUP($A19,'Fed Bs Rt+IME+GME+VBP+RAA+HAC'!$C$5:$E$89,3,FALSE)</f>
        <v>Commonspirit Health</v>
      </c>
      <c r="D19" s="312" t="s">
        <v>141</v>
      </c>
      <c r="E19" s="303">
        <v>794317</v>
      </c>
      <c r="F19" s="304">
        <v>45108</v>
      </c>
      <c r="G19" s="304">
        <v>45473</v>
      </c>
      <c r="H19" s="313">
        <v>0</v>
      </c>
      <c r="I19" s="313">
        <v>1270973</v>
      </c>
      <c r="J19" s="313">
        <v>2282261905</v>
      </c>
      <c r="K19" s="313">
        <v>4352954464</v>
      </c>
      <c r="L19" s="306">
        <f t="shared" si="0"/>
        <v>0.52430181015557709</v>
      </c>
      <c r="M19" s="307">
        <f t="shared" si="4"/>
        <v>666373.44455886423</v>
      </c>
      <c r="N19" s="308">
        <f t="shared" si="5"/>
        <v>666373.44455886423</v>
      </c>
      <c r="O19" s="314">
        <v>24430</v>
      </c>
      <c r="P19" s="310">
        <f t="shared" si="1"/>
        <v>27.276849961476227</v>
      </c>
      <c r="Q19" s="311">
        <f t="shared" si="2"/>
        <v>2.7276849961476231</v>
      </c>
      <c r="S19" s="314">
        <v>122096</v>
      </c>
      <c r="T19" s="314">
        <v>891</v>
      </c>
      <c r="U19" s="308">
        <f t="shared" si="3"/>
        <v>122987</v>
      </c>
    </row>
    <row r="20" spans="1:21" x14ac:dyDescent="0.25">
      <c r="A20" s="302" t="s">
        <v>153</v>
      </c>
      <c r="B20" s="442" t="str">
        <f>VLOOKUP($A20,'Fed Bs Rt+IME+GME+VBP+RAA+HAC'!$C$5:$E$89,2,FALSE)</f>
        <v>Rose Medical Center</v>
      </c>
      <c r="C20" s="442" t="str">
        <f>VLOOKUP($A20,'Fed Bs Rt+IME+GME+VBP+RAA+HAC'!$C$5:$E$89,3,FALSE)</f>
        <v>HealthONE</v>
      </c>
      <c r="D20" s="303" t="s">
        <v>141</v>
      </c>
      <c r="E20" s="303">
        <v>776184</v>
      </c>
      <c r="F20" s="304">
        <v>44927</v>
      </c>
      <c r="G20" s="304">
        <v>45291</v>
      </c>
      <c r="H20" s="313">
        <v>429265</v>
      </c>
      <c r="I20" s="313">
        <v>970189</v>
      </c>
      <c r="J20" s="313">
        <v>1367773103</v>
      </c>
      <c r="K20" s="313">
        <v>3321104581</v>
      </c>
      <c r="L20" s="306">
        <f t="shared" si="0"/>
        <v>0.41184282808346767</v>
      </c>
      <c r="M20" s="307">
        <f t="shared" si="4"/>
        <v>399565.38153547142</v>
      </c>
      <c r="N20" s="308">
        <f t="shared" si="5"/>
        <v>828830.38153547142</v>
      </c>
      <c r="O20" s="314">
        <v>14765</v>
      </c>
      <c r="P20" s="310">
        <f t="shared" si="1"/>
        <v>56.134804032202602</v>
      </c>
      <c r="Q20" s="311">
        <f t="shared" si="2"/>
        <v>5.6134804032202608</v>
      </c>
      <c r="S20" s="314">
        <v>45407</v>
      </c>
      <c r="T20" s="314">
        <v>1696</v>
      </c>
      <c r="U20" s="308">
        <f t="shared" si="3"/>
        <v>47103</v>
      </c>
    </row>
    <row r="21" spans="1:21" x14ac:dyDescent="0.25">
      <c r="A21" s="302" t="s">
        <v>154</v>
      </c>
      <c r="B21" s="442" t="str">
        <f>VLOOKUP($A21,'Fed Bs Rt+IME+GME+VBP+RAA+HAC'!$C$5:$E$89,2,FALSE)</f>
        <v>Swedish Medical Center</v>
      </c>
      <c r="C21" s="442" t="str">
        <f>VLOOKUP($A21,'Fed Bs Rt+IME+GME+VBP+RAA+HAC'!$C$5:$E$89,3,FALSE)</f>
        <v>HealthONE</v>
      </c>
      <c r="D21" s="312" t="s">
        <v>141</v>
      </c>
      <c r="E21" s="303">
        <v>766618</v>
      </c>
      <c r="F21" s="304">
        <v>44835</v>
      </c>
      <c r="G21" s="304">
        <v>45199</v>
      </c>
      <c r="H21" s="313">
        <v>3858578</v>
      </c>
      <c r="I21" s="313">
        <v>1401440</v>
      </c>
      <c r="J21" s="313">
        <v>4362553482</v>
      </c>
      <c r="K21" s="313">
        <v>6922776257</v>
      </c>
      <c r="L21" s="306">
        <f t="shared" si="0"/>
        <v>0.63017398223563592</v>
      </c>
      <c r="M21" s="307">
        <f t="shared" si="4"/>
        <v>883151.02566430962</v>
      </c>
      <c r="N21" s="308">
        <f t="shared" si="5"/>
        <v>4741729.02566431</v>
      </c>
      <c r="O21" s="314">
        <v>19770</v>
      </c>
      <c r="P21" s="310">
        <f t="shared" si="1"/>
        <v>239.84466492990947</v>
      </c>
      <c r="Q21" s="311">
        <f t="shared" si="2"/>
        <v>23.984466492990947</v>
      </c>
      <c r="S21" s="314">
        <v>109264</v>
      </c>
      <c r="T21" s="314">
        <v>360</v>
      </c>
      <c r="U21" s="308">
        <f t="shared" si="3"/>
        <v>109624</v>
      </c>
    </row>
    <row r="22" spans="1:21" x14ac:dyDescent="0.25">
      <c r="A22" s="302" t="s">
        <v>155</v>
      </c>
      <c r="B22" s="442" t="str">
        <f>VLOOKUP($A22,'Fed Bs Rt+IME+GME+VBP+RAA+HAC'!$C$5:$E$89,2,FALSE)</f>
        <v>HCA HealthONE Mountain Ridge (Frmly North Suburban Medical Center)</v>
      </c>
      <c r="C22" s="442" t="str">
        <f>VLOOKUP($A22,'Fed Bs Rt+IME+GME+VBP+RAA+HAC'!$C$5:$E$89,3,FALSE)</f>
        <v>HealthONE</v>
      </c>
      <c r="D22" s="303" t="s">
        <v>141</v>
      </c>
      <c r="E22" s="303">
        <v>774496</v>
      </c>
      <c r="F22" s="304">
        <v>44927</v>
      </c>
      <c r="G22" s="304">
        <v>45291</v>
      </c>
      <c r="H22" s="313">
        <v>2922</v>
      </c>
      <c r="I22" s="313">
        <v>304437</v>
      </c>
      <c r="J22" s="313">
        <v>1177600441</v>
      </c>
      <c r="K22" s="313">
        <v>2688721102</v>
      </c>
      <c r="L22" s="306">
        <f t="shared" si="0"/>
        <v>0.43797790708900386</v>
      </c>
      <c r="M22" s="307">
        <f t="shared" si="4"/>
        <v>133336.68010045507</v>
      </c>
      <c r="N22" s="308">
        <f t="shared" si="5"/>
        <v>136258.68010045507</v>
      </c>
      <c r="O22" s="314">
        <v>7421</v>
      </c>
      <c r="P22" s="310">
        <f t="shared" si="1"/>
        <v>18.361228958422728</v>
      </c>
      <c r="Q22" s="311">
        <f t="shared" si="2"/>
        <v>1.8361228958422728</v>
      </c>
      <c r="S22" s="314">
        <v>31170</v>
      </c>
      <c r="T22" s="314">
        <v>291</v>
      </c>
      <c r="U22" s="308">
        <f t="shared" si="3"/>
        <v>31461</v>
      </c>
    </row>
    <row r="23" spans="1:21" x14ac:dyDescent="0.25">
      <c r="A23" s="302" t="s">
        <v>156</v>
      </c>
      <c r="B23" s="442" t="str">
        <f>VLOOKUP($A23,'Fed Bs Rt+IME+GME+VBP+RAA+HAC'!$C$5:$E$89,2,FALSE)</f>
        <v>The Medical Center of Aurora</v>
      </c>
      <c r="C23" s="442" t="str">
        <f>VLOOKUP($A23,'Fed Bs Rt+IME+GME+VBP+RAA+HAC'!$C$5:$E$89,3,FALSE)</f>
        <v>HealthONE</v>
      </c>
      <c r="D23" s="312" t="s">
        <v>141</v>
      </c>
      <c r="E23" s="303">
        <v>775320</v>
      </c>
      <c r="F23" s="304">
        <v>44927</v>
      </c>
      <c r="G23" s="304">
        <v>45291</v>
      </c>
      <c r="H23" s="313">
        <v>5172779</v>
      </c>
      <c r="I23" s="313">
        <v>65225</v>
      </c>
      <c r="J23" s="313">
        <v>2810931810</v>
      </c>
      <c r="K23" s="313">
        <v>4976608262</v>
      </c>
      <c r="L23" s="306">
        <f t="shared" si="0"/>
        <v>0.56482882758996633</v>
      </c>
      <c r="M23" s="307">
        <f t="shared" si="4"/>
        <v>36840.960279555555</v>
      </c>
      <c r="N23" s="308">
        <f t="shared" si="5"/>
        <v>5209619.960279556</v>
      </c>
      <c r="O23" s="314">
        <v>16683</v>
      </c>
      <c r="P23" s="310">
        <f t="shared" si="1"/>
        <v>312.27117186834238</v>
      </c>
      <c r="Q23" s="311">
        <f t="shared" si="2"/>
        <v>31.227117186834239</v>
      </c>
      <c r="S23" s="314">
        <v>91385</v>
      </c>
      <c r="T23" s="314">
        <v>226</v>
      </c>
      <c r="U23" s="308">
        <f t="shared" si="3"/>
        <v>91611</v>
      </c>
    </row>
    <row r="24" spans="1:21" x14ac:dyDescent="0.25">
      <c r="A24" s="302" t="s">
        <v>157</v>
      </c>
      <c r="B24" s="442" t="str">
        <f>VLOOKUP($A24,'Fed Bs Rt+IME+GME+VBP+RAA+HAC'!$C$5:$E$89,2,FALSE)</f>
        <v>Centura St. Anthony North Hospital</v>
      </c>
      <c r="C24" s="442" t="str">
        <f>VLOOKUP($A24,'Fed Bs Rt+IME+GME+VBP+RAA+HAC'!$C$5:$E$89,3,FALSE)</f>
        <v>Commonspirit Health</v>
      </c>
      <c r="D24" s="303" t="s">
        <v>141</v>
      </c>
      <c r="E24" s="303">
        <v>793194</v>
      </c>
      <c r="F24" s="304">
        <v>45108</v>
      </c>
      <c r="G24" s="304">
        <v>45473</v>
      </c>
      <c r="H24" s="313">
        <v>4251562</v>
      </c>
      <c r="I24" s="313">
        <v>4273936</v>
      </c>
      <c r="J24" s="313">
        <v>628924244</v>
      </c>
      <c r="K24" s="313">
        <v>1629765035</v>
      </c>
      <c r="L24" s="306">
        <f t="shared" si="0"/>
        <v>0.385898721897663</v>
      </c>
      <c r="M24" s="307">
        <f t="shared" si="4"/>
        <v>1649306.4398724101</v>
      </c>
      <c r="N24" s="308">
        <f t="shared" si="5"/>
        <v>5900868.4398724101</v>
      </c>
      <c r="O24" s="314">
        <v>8423</v>
      </c>
      <c r="P24" s="310">
        <f t="shared" si="1"/>
        <v>700.56612131929364</v>
      </c>
      <c r="Q24" s="311">
        <f t="shared" si="2"/>
        <v>70.05661213192937</v>
      </c>
      <c r="S24" s="314">
        <v>28691</v>
      </c>
      <c r="T24" s="314">
        <v>495</v>
      </c>
      <c r="U24" s="308">
        <f t="shared" si="3"/>
        <v>29186</v>
      </c>
    </row>
    <row r="25" spans="1:21" x14ac:dyDescent="0.25">
      <c r="A25" s="302" t="s">
        <v>158</v>
      </c>
      <c r="B25" s="442" t="str">
        <f>VLOOKUP($A25,'Fed Bs Rt+IME+GME+VBP+RAA+HAC'!$C$5:$E$89,2,FALSE)</f>
        <v>National Jewish Health</v>
      </c>
      <c r="C25" s="442" t="str">
        <f>VLOOKUP($A25,'Fed Bs Rt+IME+GME+VBP+RAA+HAC'!$C$5:$E$89,3,FALSE)</f>
        <v xml:space="preserve"> </v>
      </c>
      <c r="D25" s="312" t="s">
        <v>141</v>
      </c>
      <c r="E25" s="303">
        <v>794719</v>
      </c>
      <c r="F25" s="304">
        <v>45108</v>
      </c>
      <c r="G25" s="304">
        <v>45473</v>
      </c>
      <c r="H25" s="313">
        <v>82333</v>
      </c>
      <c r="I25" s="313">
        <v>556517</v>
      </c>
      <c r="J25" s="313">
        <v>1564023</v>
      </c>
      <c r="K25" s="313">
        <v>277950642</v>
      </c>
      <c r="L25" s="306">
        <f t="shared" si="0"/>
        <v>5.6269810666600296E-3</v>
      </c>
      <c r="M25" s="307">
        <f t="shared" si="4"/>
        <v>3131.5106222744398</v>
      </c>
      <c r="N25" s="308">
        <f t="shared" si="5"/>
        <v>85464.510622274436</v>
      </c>
      <c r="O25" s="314">
        <v>60</v>
      </c>
      <c r="P25" s="310">
        <f t="shared" si="1"/>
        <v>1424.4085103712407</v>
      </c>
      <c r="Q25" s="311">
        <f t="shared" si="2"/>
        <v>142.44085103712408</v>
      </c>
      <c r="S25" s="314">
        <v>465</v>
      </c>
      <c r="T25" s="314">
        <v>0</v>
      </c>
      <c r="U25" s="308">
        <f t="shared" si="3"/>
        <v>465</v>
      </c>
    </row>
    <row r="26" spans="1:21" x14ac:dyDescent="0.25">
      <c r="A26" s="302" t="s">
        <v>159</v>
      </c>
      <c r="B26" s="442" t="str">
        <f>VLOOKUP($A26,'Fed Bs Rt+IME+GME+VBP+RAA+HAC'!$C$5:$E$89,2,FALSE)</f>
        <v>Sky Ridge Medical Center</v>
      </c>
      <c r="C26" s="442" t="str">
        <f>VLOOKUP($A26,'Fed Bs Rt+IME+GME+VBP+RAA+HAC'!$C$5:$E$89,3,FALSE)</f>
        <v>HealthONE</v>
      </c>
      <c r="D26" s="303" t="s">
        <v>141</v>
      </c>
      <c r="E26" s="303">
        <v>791644</v>
      </c>
      <c r="F26" s="304">
        <v>45108</v>
      </c>
      <c r="G26" s="304">
        <v>45473</v>
      </c>
      <c r="H26" s="305">
        <v>12518788</v>
      </c>
      <c r="I26" s="305">
        <v>1888107</v>
      </c>
      <c r="J26" s="305">
        <v>3142832851</v>
      </c>
      <c r="K26" s="305">
        <v>6353846086</v>
      </c>
      <c r="L26" s="306">
        <f t="shared" si="0"/>
        <v>0.49463471548750387</v>
      </c>
      <c r="M26" s="307">
        <f t="shared" si="4"/>
        <v>933923.26875496446</v>
      </c>
      <c r="N26" s="308">
        <f t="shared" si="5"/>
        <v>13452711.268754965</v>
      </c>
      <c r="O26" s="314">
        <v>16735</v>
      </c>
      <c r="P26" s="310">
        <f t="shared" si="1"/>
        <v>803.86682215446456</v>
      </c>
      <c r="Q26" s="311">
        <f t="shared" si="2"/>
        <v>80.386682215446456</v>
      </c>
      <c r="S26" s="316">
        <v>69413</v>
      </c>
      <c r="T26" s="316">
        <v>1067</v>
      </c>
      <c r="U26" s="308">
        <f t="shared" si="3"/>
        <v>70480</v>
      </c>
    </row>
    <row r="27" spans="1:21" x14ac:dyDescent="0.25">
      <c r="A27" s="302" t="s">
        <v>160</v>
      </c>
      <c r="B27" s="442" t="str">
        <f>VLOOKUP($A27,'Fed Bs Rt+IME+GME+VBP+RAA+HAC'!$C$5:$E$89,2,FALSE)</f>
        <v>Medical Center of the Rockies</v>
      </c>
      <c r="C27" s="442" t="str">
        <f>VLOOKUP($A27,'Fed Bs Rt+IME+GME+VBP+RAA+HAC'!$C$5:$E$89,3,FALSE)</f>
        <v>UCHealth</v>
      </c>
      <c r="D27" s="303" t="s">
        <v>161</v>
      </c>
      <c r="E27" s="303">
        <v>793009</v>
      </c>
      <c r="F27" s="304">
        <v>45108</v>
      </c>
      <c r="G27" s="304">
        <v>45473</v>
      </c>
      <c r="H27" s="305">
        <v>82416</v>
      </c>
      <c r="I27" s="305">
        <v>102424</v>
      </c>
      <c r="J27" s="305">
        <v>1126924127</v>
      </c>
      <c r="K27" s="305">
        <v>2265021328</v>
      </c>
      <c r="L27" s="306">
        <f t="shared" si="0"/>
        <v>0.49753356097316181</v>
      </c>
      <c r="M27" s="307">
        <f t="shared" si="4"/>
        <v>50959.377449115127</v>
      </c>
      <c r="N27" s="308">
        <f t="shared" si="5"/>
        <v>133375.37744911513</v>
      </c>
      <c r="O27" s="314">
        <v>10624</v>
      </c>
      <c r="P27" s="310">
        <f t="shared" si="1"/>
        <v>12.554158268930264</v>
      </c>
      <c r="Q27" s="311">
        <f t="shared" si="2"/>
        <v>1.2554158268930264</v>
      </c>
      <c r="S27" s="309">
        <v>54956</v>
      </c>
      <c r="T27" s="309">
        <v>693</v>
      </c>
      <c r="U27" s="308">
        <f t="shared" si="3"/>
        <v>55649</v>
      </c>
    </row>
    <row r="28" spans="1:21" s="6" customFormat="1" x14ac:dyDescent="0.25">
      <c r="A28" s="469" t="s">
        <v>162</v>
      </c>
      <c r="B28" s="470" t="str">
        <f>VLOOKUP($A28,'Fed Bs Rt+IME+GME+VBP+RAA+HAC'!$C$5:$E$89,2,FALSE)</f>
        <v>Broomfield Hospital</v>
      </c>
      <c r="C28" s="470" t="str">
        <f>VLOOKUP($A28,'Fed Bs Rt+IME+GME+VBP+RAA+HAC'!$C$5:$E$89,3,FALSE)</f>
        <v>UCHealth</v>
      </c>
      <c r="D28" s="303" t="s">
        <v>163</v>
      </c>
      <c r="E28" s="303">
        <v>793010</v>
      </c>
      <c r="F28" s="304">
        <v>45108</v>
      </c>
      <c r="G28" s="304">
        <v>45473</v>
      </c>
      <c r="H28" s="305">
        <v>0</v>
      </c>
      <c r="I28" s="305">
        <v>369589</v>
      </c>
      <c r="J28" s="305">
        <v>63223486</v>
      </c>
      <c r="K28" s="305">
        <v>367430827</v>
      </c>
      <c r="L28" s="306">
        <f>J28/K28</f>
        <v>0.17206908444837701</v>
      </c>
      <c r="M28" s="307">
        <f>I28*L28</f>
        <v>63594.840852191213</v>
      </c>
      <c r="N28" s="308">
        <f>H28+M28</f>
        <v>63594.840852191213</v>
      </c>
      <c r="O28" s="314">
        <v>985</v>
      </c>
      <c r="P28" s="310">
        <f>N28/O28</f>
        <v>64.563290205270263</v>
      </c>
      <c r="Q28" s="311">
        <f>P28*0.1</f>
        <v>6.4563290205270265</v>
      </c>
      <c r="S28" s="309">
        <v>7771</v>
      </c>
      <c r="T28" s="309">
        <v>0</v>
      </c>
      <c r="U28" s="308">
        <f>SUM(S28:T28)</f>
        <v>7771</v>
      </c>
    </row>
    <row r="29" spans="1:21" x14ac:dyDescent="0.25">
      <c r="A29" s="302" t="s">
        <v>164</v>
      </c>
      <c r="B29" s="442" t="str">
        <f>VLOOKUP($A29,'Fed Bs Rt+IME+GME+VBP+RAA+HAC'!$C$5:$E$89,2,FALSE)</f>
        <v>Wray Community District Hospital</v>
      </c>
      <c r="C29" s="442"/>
      <c r="D29" s="303" t="s">
        <v>161</v>
      </c>
      <c r="E29" s="303">
        <v>773932</v>
      </c>
      <c r="F29" s="304">
        <v>44927</v>
      </c>
      <c r="G29" s="304">
        <v>45291</v>
      </c>
      <c r="H29" s="305">
        <v>68291</v>
      </c>
      <c r="I29" s="305">
        <v>22424</v>
      </c>
      <c r="J29" s="305">
        <v>7736187</v>
      </c>
      <c r="K29" s="305">
        <v>44590154</v>
      </c>
      <c r="L29" s="306">
        <f t="shared" ref="L29" si="6">J29/K29</f>
        <v>0.17349540887434478</v>
      </c>
      <c r="M29" s="307">
        <f t="shared" ref="M29" si="7">I29*L29</f>
        <v>3890.4610485983076</v>
      </c>
      <c r="N29" s="308">
        <f t="shared" ref="N29" si="8">H29+M29</f>
        <v>72181.461048598314</v>
      </c>
      <c r="O29" s="309">
        <v>315</v>
      </c>
      <c r="P29" s="310">
        <f t="shared" si="1"/>
        <v>229.14749539237559</v>
      </c>
      <c r="Q29" s="311">
        <f t="shared" si="2"/>
        <v>22.914749539237562</v>
      </c>
      <c r="S29" s="309">
        <v>1089</v>
      </c>
      <c r="T29" s="309">
        <v>31</v>
      </c>
      <c r="U29" s="308">
        <f t="shared" si="3"/>
        <v>1120</v>
      </c>
    </row>
    <row r="30" spans="1:21" x14ac:dyDescent="0.25">
      <c r="A30" s="302" t="s">
        <v>165</v>
      </c>
      <c r="B30" s="442" t="str">
        <f>VLOOKUP($A30,'Fed Bs Rt+IME+GME+VBP+RAA+HAC'!$C$5:$E$89,2,FALSE)</f>
        <v>Children's Hospital Colorado</v>
      </c>
      <c r="C30" s="442" t="str">
        <f>VLOOKUP($A30,'Fed Bs Rt+IME+GME+VBP+RAA+HAC'!$C$5:$E$89,3,FALSE)</f>
        <v>Childrens</v>
      </c>
      <c r="D30" s="312" t="s">
        <v>141</v>
      </c>
      <c r="E30" s="303">
        <v>776189</v>
      </c>
      <c r="F30" s="304">
        <v>44927</v>
      </c>
      <c r="G30" s="304">
        <v>45291</v>
      </c>
      <c r="H30" s="305">
        <v>20639471</v>
      </c>
      <c r="I30" s="305">
        <v>15915675</v>
      </c>
      <c r="J30" s="305">
        <v>2273144449</v>
      </c>
      <c r="K30" s="305">
        <v>4101164403</v>
      </c>
      <c r="L30" s="306">
        <f t="shared" si="0"/>
        <v>0.55426806283044783</v>
      </c>
      <c r="M30" s="307">
        <f t="shared" si="4"/>
        <v>8821550.350888988</v>
      </c>
      <c r="N30" s="308">
        <f t="shared" si="5"/>
        <v>29461021.35088899</v>
      </c>
      <c r="O30" s="309">
        <v>15638</v>
      </c>
      <c r="P30" s="310">
        <f t="shared" si="1"/>
        <v>1883.9379300990529</v>
      </c>
      <c r="Q30" s="311">
        <f t="shared" si="2"/>
        <v>188.39379300990529</v>
      </c>
      <c r="S30" s="309">
        <v>118772</v>
      </c>
      <c r="T30" s="309">
        <v>0</v>
      </c>
      <c r="U30" s="308">
        <f t="shared" si="3"/>
        <v>118772</v>
      </c>
    </row>
    <row r="31" spans="1:21" x14ac:dyDescent="0.25">
      <c r="A31" s="317" t="s">
        <v>166</v>
      </c>
      <c r="B31" s="317"/>
      <c r="C31" s="317"/>
      <c r="L31" s="318"/>
      <c r="M31" s="318"/>
      <c r="N31" s="318"/>
      <c r="O31" s="318"/>
      <c r="P31" s="318"/>
      <c r="Q31" s="318"/>
      <c r="R31" s="319"/>
      <c r="S31" s="319"/>
      <c r="T31" s="319"/>
      <c r="U31" s="318"/>
    </row>
    <row r="32" spans="1:21" x14ac:dyDescent="0.25">
      <c r="A32" s="471" t="s">
        <v>167</v>
      </c>
      <c r="B32" s="364"/>
      <c r="C32" s="364"/>
    </row>
    <row r="34" spans="1:3" x14ac:dyDescent="0.25">
      <c r="A34" s="319"/>
      <c r="B34" s="319"/>
      <c r="C34" s="319"/>
    </row>
  </sheetData>
  <hyperlinks>
    <hyperlink ref="D3:D4" r:id="rId1" display="2025 Teaching Hospital List" xr:uid="{112D1BCB-16F0-4C2F-91FA-331990FF1135}"/>
  </hyperlinks>
  <pageMargins left="0.7" right="0.7" top="0.75" bottom="0.75" header="0.3" footer="0.3"/>
  <pageSetup scale="48" orientation="landscape"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192DB-81FE-44F4-B4B1-0BB035BEA881}">
  <sheetPr>
    <tabColor theme="8" tint="0.59999389629810485"/>
  </sheetPr>
  <dimension ref="A1:W13"/>
  <sheetViews>
    <sheetView zoomScaleNormal="100" workbookViewId="0"/>
  </sheetViews>
  <sheetFormatPr defaultRowHeight="15" x14ac:dyDescent="0.25"/>
  <cols>
    <col min="1" max="1" width="10.5703125" customWidth="1"/>
    <col min="2" max="2" width="30.85546875" customWidth="1"/>
    <col min="3" max="3" width="13" customWidth="1"/>
    <col min="4" max="4" width="15.5703125" customWidth="1"/>
    <col min="5" max="5" width="10.7109375" customWidth="1"/>
    <col min="6" max="6" width="15.140625" customWidth="1"/>
    <col min="7" max="7" width="12.28515625" customWidth="1"/>
    <col min="8" max="8" width="16.140625" customWidth="1"/>
    <col min="9" max="9" width="15.140625" customWidth="1"/>
    <col min="10" max="10" width="11.42578125" customWidth="1"/>
    <col min="11" max="11" width="19.85546875" customWidth="1"/>
    <col min="12" max="12" width="12.85546875" bestFit="1" customWidth="1"/>
    <col min="13" max="13" width="11.85546875" customWidth="1"/>
    <col min="14" max="14" width="1" customWidth="1"/>
    <col min="15" max="15" width="16.85546875" customWidth="1"/>
    <col min="16" max="16" width="11.7109375" customWidth="1"/>
    <col min="17" max="18" width="13.42578125" customWidth="1"/>
    <col min="19" max="19" width="16.5703125" customWidth="1"/>
    <col min="20" max="20" width="12.42578125" customWidth="1"/>
    <col min="21" max="21" width="11.28515625" customWidth="1"/>
    <col min="22" max="22" width="1" customWidth="1"/>
    <col min="23" max="23" width="22.140625" customWidth="1"/>
  </cols>
  <sheetData>
    <row r="1" spans="1:23" ht="15.75" customHeight="1" x14ac:dyDescent="0.25">
      <c r="A1" s="444"/>
      <c r="B1" s="445"/>
      <c r="C1" s="445"/>
      <c r="D1" s="445"/>
      <c r="E1" s="445"/>
      <c r="F1" s="445"/>
      <c r="G1" s="448"/>
      <c r="H1" s="320"/>
      <c r="I1" s="271"/>
      <c r="J1" s="271" t="s">
        <v>168</v>
      </c>
      <c r="K1" s="271"/>
      <c r="L1" s="271"/>
      <c r="M1" s="321"/>
      <c r="O1" s="320"/>
      <c r="P1" s="322"/>
      <c r="Q1" s="323"/>
      <c r="R1" s="271" t="s">
        <v>169</v>
      </c>
      <c r="S1" s="322"/>
      <c r="T1" s="322"/>
      <c r="U1" s="324"/>
      <c r="W1" s="273" t="s">
        <v>170</v>
      </c>
    </row>
    <row r="2" spans="1:23" s="280" customFormat="1" ht="11.25" customHeight="1" x14ac:dyDescent="0.2">
      <c r="A2" s="446" t="s">
        <v>65</v>
      </c>
      <c r="B2" s="447"/>
      <c r="C2" s="447"/>
      <c r="D2" s="447"/>
      <c r="E2" s="447"/>
      <c r="F2" s="325" t="s">
        <v>66</v>
      </c>
      <c r="G2" s="325" t="s">
        <v>67</v>
      </c>
      <c r="H2" s="325" t="s">
        <v>68</v>
      </c>
      <c r="I2" s="325" t="s">
        <v>69</v>
      </c>
      <c r="J2" s="325" t="s">
        <v>70</v>
      </c>
      <c r="K2" s="325" t="s">
        <v>71</v>
      </c>
      <c r="L2" s="325" t="s">
        <v>72</v>
      </c>
      <c r="M2" s="326" t="s">
        <v>73</v>
      </c>
      <c r="N2" s="327"/>
      <c r="O2" s="328" t="s">
        <v>74</v>
      </c>
      <c r="P2" s="325" t="s">
        <v>75</v>
      </c>
      <c r="Q2" s="325" t="s">
        <v>76</v>
      </c>
      <c r="R2" s="325" t="s">
        <v>77</v>
      </c>
      <c r="S2" s="325" t="s">
        <v>78</v>
      </c>
      <c r="T2" s="325" t="s">
        <v>79</v>
      </c>
      <c r="U2" s="326" t="s">
        <v>80</v>
      </c>
      <c r="W2" s="279" t="s">
        <v>171</v>
      </c>
    </row>
    <row r="3" spans="1:23" s="280" customFormat="1" ht="11.25" customHeight="1" x14ac:dyDescent="0.2">
      <c r="A3" s="281" t="s">
        <v>81</v>
      </c>
      <c r="B3" s="441"/>
      <c r="C3" s="441"/>
      <c r="D3" s="282" t="s">
        <v>82</v>
      </c>
      <c r="E3" s="329"/>
      <c r="F3" s="284" t="s">
        <v>172</v>
      </c>
      <c r="G3" s="284"/>
      <c r="H3" s="330" t="s">
        <v>173</v>
      </c>
      <c r="I3" s="331" t="s">
        <v>174</v>
      </c>
      <c r="J3" s="286" t="s">
        <v>86</v>
      </c>
      <c r="K3" s="332" t="s">
        <v>175</v>
      </c>
      <c r="L3" s="286" t="s">
        <v>176</v>
      </c>
      <c r="M3" s="333" t="s">
        <v>86</v>
      </c>
      <c r="N3" s="334"/>
      <c r="O3" s="335" t="s">
        <v>177</v>
      </c>
      <c r="P3" s="286" t="s">
        <v>86</v>
      </c>
      <c r="Q3" s="286" t="s">
        <v>178</v>
      </c>
      <c r="R3" s="286" t="s">
        <v>86</v>
      </c>
      <c r="S3" s="332" t="s">
        <v>179</v>
      </c>
      <c r="T3" s="286" t="s">
        <v>176</v>
      </c>
      <c r="U3" s="336" t="s">
        <v>86</v>
      </c>
      <c r="W3" s="337" t="s">
        <v>180</v>
      </c>
    </row>
    <row r="4" spans="1:23" s="280" customFormat="1" ht="13.5" customHeight="1" x14ac:dyDescent="0.2">
      <c r="A4" s="338"/>
      <c r="B4" s="289"/>
      <c r="C4" s="289"/>
      <c r="D4" s="339"/>
      <c r="E4" s="340"/>
      <c r="F4" s="292" t="s">
        <v>181</v>
      </c>
      <c r="G4" s="292"/>
      <c r="H4" s="293" t="s">
        <v>182</v>
      </c>
      <c r="I4" s="293" t="s">
        <v>101</v>
      </c>
      <c r="J4" s="293" t="s">
        <v>183</v>
      </c>
      <c r="K4" s="341" t="s">
        <v>184</v>
      </c>
      <c r="L4" s="325" t="s">
        <v>185</v>
      </c>
      <c r="M4" s="342" t="s">
        <v>186</v>
      </c>
      <c r="N4" s="334"/>
      <c r="O4" s="343" t="s">
        <v>101</v>
      </c>
      <c r="P4" s="293" t="s">
        <v>187</v>
      </c>
      <c r="Q4" s="293" t="s">
        <v>99</v>
      </c>
      <c r="R4" s="293" t="s">
        <v>188</v>
      </c>
      <c r="S4" s="293" t="s">
        <v>189</v>
      </c>
      <c r="T4" s="325" t="s">
        <v>185</v>
      </c>
      <c r="U4" s="342" t="s">
        <v>190</v>
      </c>
      <c r="W4" s="294" t="s">
        <v>191</v>
      </c>
    </row>
    <row r="5" spans="1:23" ht="15" customHeight="1" x14ac:dyDescent="0.25">
      <c r="A5" s="344" t="s">
        <v>104</v>
      </c>
      <c r="B5" s="345"/>
      <c r="C5" s="345"/>
      <c r="D5" s="345" t="s">
        <v>105</v>
      </c>
      <c r="E5" s="297" t="s">
        <v>106</v>
      </c>
      <c r="F5" s="297" t="s">
        <v>107</v>
      </c>
      <c r="G5" s="345" t="s">
        <v>107</v>
      </c>
      <c r="H5" s="346" t="s">
        <v>115</v>
      </c>
      <c r="I5" s="347" t="s">
        <v>192</v>
      </c>
      <c r="J5" s="347" t="s">
        <v>193</v>
      </c>
      <c r="K5" s="347" t="s">
        <v>194</v>
      </c>
      <c r="L5" s="347" t="s">
        <v>195</v>
      </c>
      <c r="M5" s="348" t="s">
        <v>196</v>
      </c>
      <c r="O5" s="349" t="s">
        <v>115</v>
      </c>
      <c r="P5" s="347" t="s">
        <v>197</v>
      </c>
      <c r="Q5" s="347" t="s">
        <v>198</v>
      </c>
      <c r="R5" s="347" t="s">
        <v>193</v>
      </c>
      <c r="S5" s="347" t="s">
        <v>199</v>
      </c>
      <c r="T5" s="347" t="s">
        <v>195</v>
      </c>
      <c r="U5" s="348" t="s">
        <v>200</v>
      </c>
      <c r="W5" s="350" t="s">
        <v>201</v>
      </c>
    </row>
    <row r="6" spans="1:23" ht="15" customHeight="1" x14ac:dyDescent="0.25">
      <c r="A6" s="296" t="s">
        <v>116</v>
      </c>
      <c r="B6" s="297" t="s">
        <v>117</v>
      </c>
      <c r="C6" s="297" t="s">
        <v>202</v>
      </c>
      <c r="D6" s="297" t="s">
        <v>119</v>
      </c>
      <c r="E6" s="297" t="s">
        <v>120</v>
      </c>
      <c r="F6" s="297" t="s">
        <v>121</v>
      </c>
      <c r="G6" s="297" t="s">
        <v>121</v>
      </c>
      <c r="H6" s="346" t="s">
        <v>203</v>
      </c>
      <c r="I6" s="346" t="s">
        <v>204</v>
      </c>
      <c r="J6" s="346" t="s">
        <v>205</v>
      </c>
      <c r="K6" s="346" t="s">
        <v>206</v>
      </c>
      <c r="L6" s="346" t="s">
        <v>196</v>
      </c>
      <c r="M6" s="351" t="s">
        <v>207</v>
      </c>
      <c r="O6" s="352" t="s">
        <v>128</v>
      </c>
      <c r="P6" s="346" t="s">
        <v>107</v>
      </c>
      <c r="Q6" s="346" t="s">
        <v>208</v>
      </c>
      <c r="R6" s="346" t="s">
        <v>209</v>
      </c>
      <c r="S6" s="346" t="s">
        <v>206</v>
      </c>
      <c r="T6" s="346" t="s">
        <v>200</v>
      </c>
      <c r="U6" s="351" t="s">
        <v>207</v>
      </c>
      <c r="W6" s="298" t="s">
        <v>210</v>
      </c>
    </row>
    <row r="7" spans="1:23" x14ac:dyDescent="0.25">
      <c r="A7" s="299" t="s">
        <v>129</v>
      </c>
      <c r="B7" s="300"/>
      <c r="C7" s="300" t="s">
        <v>211</v>
      </c>
      <c r="D7" s="300" t="s">
        <v>130</v>
      </c>
      <c r="E7" s="300" t="s">
        <v>129</v>
      </c>
      <c r="F7" s="300" t="s">
        <v>131</v>
      </c>
      <c r="G7" s="300" t="s">
        <v>132</v>
      </c>
      <c r="H7" s="353" t="s">
        <v>212</v>
      </c>
      <c r="I7" s="353" t="s">
        <v>213</v>
      </c>
      <c r="J7" s="353" t="s">
        <v>134</v>
      </c>
      <c r="K7" s="353" t="s">
        <v>214</v>
      </c>
      <c r="L7" s="353" t="s">
        <v>215</v>
      </c>
      <c r="M7" s="354" t="s">
        <v>216</v>
      </c>
      <c r="O7" s="355" t="s">
        <v>139</v>
      </c>
      <c r="P7" s="353" t="s">
        <v>121</v>
      </c>
      <c r="Q7" s="353" t="s">
        <v>217</v>
      </c>
      <c r="R7" s="353" t="s">
        <v>134</v>
      </c>
      <c r="S7" s="353" t="s">
        <v>214</v>
      </c>
      <c r="T7" s="353" t="s">
        <v>215</v>
      </c>
      <c r="U7" s="354" t="s">
        <v>216</v>
      </c>
      <c r="W7" s="301" t="s">
        <v>218</v>
      </c>
    </row>
    <row r="8" spans="1:23" x14ac:dyDescent="0.25">
      <c r="A8" s="356" t="s">
        <v>164</v>
      </c>
      <c r="B8" s="443" t="s">
        <v>219</v>
      </c>
      <c r="C8" s="443"/>
      <c r="D8" s="303" t="s">
        <v>161</v>
      </c>
      <c r="E8" s="303">
        <v>773932</v>
      </c>
      <c r="F8" s="304">
        <v>44927</v>
      </c>
      <c r="G8" s="304">
        <v>45291</v>
      </c>
      <c r="H8" s="309">
        <v>16</v>
      </c>
      <c r="I8" s="357">
        <v>1.28</v>
      </c>
      <c r="J8" s="358">
        <f>I8/H8</f>
        <v>0.08</v>
      </c>
      <c r="K8" s="358">
        <f>1.35*((1+J8)^0.405-1)</f>
        <v>4.2741092266451612E-2</v>
      </c>
      <c r="L8" s="357">
        <v>6624.39</v>
      </c>
      <c r="M8" s="359">
        <f>K8*L8</f>
        <v>283.13366419895942</v>
      </c>
      <c r="O8" s="309">
        <f>SUM('GME Add-On Posting'!S29)</f>
        <v>1089</v>
      </c>
      <c r="P8" s="360">
        <f>G8-(F8-1)</f>
        <v>365</v>
      </c>
      <c r="Q8" s="359">
        <f>O8/P8</f>
        <v>2.9835616438356163</v>
      </c>
      <c r="R8" s="358">
        <f>I8/Q8</f>
        <v>0.42901744719926543</v>
      </c>
      <c r="S8" s="358">
        <f>2.71828^(0.2822*R8)-1</f>
        <v>0.12870238628085562</v>
      </c>
      <c r="T8" s="357">
        <v>512.14</v>
      </c>
      <c r="U8" s="359">
        <f>S8*T8</f>
        <v>65.913640109877392</v>
      </c>
      <c r="W8" s="311">
        <f>M8+U8</f>
        <v>349.04730430883683</v>
      </c>
    </row>
    <row r="9" spans="1:23" x14ac:dyDescent="0.25">
      <c r="A9" s="356" t="s">
        <v>165</v>
      </c>
      <c r="B9" s="443" t="s">
        <v>220</v>
      </c>
      <c r="C9" s="443" t="s">
        <v>221</v>
      </c>
      <c r="D9" s="361" t="s">
        <v>141</v>
      </c>
      <c r="E9" s="361">
        <v>776189</v>
      </c>
      <c r="F9" s="304">
        <v>44927</v>
      </c>
      <c r="G9" s="304">
        <v>45291</v>
      </c>
      <c r="H9" s="309">
        <v>497</v>
      </c>
      <c r="I9" s="357">
        <v>274.01</v>
      </c>
      <c r="J9" s="358">
        <f>I9/H9</f>
        <v>0.55132796780684101</v>
      </c>
      <c r="K9" s="358">
        <f>1.35*((1+J9)^0.405-1)</f>
        <v>0.2627562568827756</v>
      </c>
      <c r="L9" s="357">
        <v>6624.39</v>
      </c>
      <c r="M9" s="359">
        <f>K9*L9</f>
        <v>1740.5999205316898</v>
      </c>
      <c r="O9" s="309">
        <f>'GME Add-On Posting'!S30</f>
        <v>118772</v>
      </c>
      <c r="P9" s="360">
        <f>G9-(F9-1)</f>
        <v>365</v>
      </c>
      <c r="Q9" s="359">
        <f>O9/P9</f>
        <v>325.40273972602739</v>
      </c>
      <c r="R9" s="358">
        <f>I9/Q9</f>
        <v>0.84206420705216711</v>
      </c>
      <c r="S9" s="358">
        <f>2.71828^(0.2822*R9)-1</f>
        <v>0.26824031304538898</v>
      </c>
      <c r="T9" s="357">
        <v>512.14</v>
      </c>
      <c r="U9" s="359">
        <f>S9*T9</f>
        <v>137.37659392306551</v>
      </c>
      <c r="W9" s="311">
        <f>M9+U9</f>
        <v>1877.9765144547553</v>
      </c>
    </row>
    <row r="10" spans="1:23" s="362" customFormat="1" x14ac:dyDescent="0.25">
      <c r="A10" s="317" t="s">
        <v>166</v>
      </c>
      <c r="B10" s="317"/>
      <c r="C10" s="317"/>
      <c r="J10" s="318"/>
      <c r="K10" s="318"/>
      <c r="L10" s="318"/>
      <c r="M10" s="318"/>
      <c r="N10" s="363"/>
      <c r="O10" s="363"/>
      <c r="P10" s="318"/>
      <c r="Q10" s="318"/>
      <c r="R10" s="318"/>
      <c r="S10" s="318"/>
      <c r="T10" s="363"/>
      <c r="U10" s="318"/>
      <c r="V10" s="363"/>
      <c r="W10" s="318"/>
    </row>
    <row r="13" spans="1:23" x14ac:dyDescent="0.25">
      <c r="A13" s="319"/>
      <c r="B13" s="319"/>
      <c r="C13" s="319"/>
    </row>
  </sheetData>
  <hyperlinks>
    <hyperlink ref="D3:D4" r:id="rId1" display="2025 Teaching Hospital List" xr:uid="{0F770363-9563-4122-8CA4-0165F83142C3}"/>
  </hyperlinks>
  <pageMargins left="0.7" right="0.7" top="0.75" bottom="0.75" header="0.3" footer="0.3"/>
  <pageSetup scale="52"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98FF7-658D-4B66-A733-DBEAC755F715}">
  <sheetPr>
    <tabColor theme="9" tint="-0.249977111117893"/>
  </sheetPr>
  <dimension ref="A1:A21"/>
  <sheetViews>
    <sheetView workbookViewId="0"/>
  </sheetViews>
  <sheetFormatPr defaultRowHeight="15" x14ac:dyDescent="0.25"/>
  <cols>
    <col min="1" max="1" width="138.85546875" style="3" customWidth="1"/>
    <col min="2" max="16384" width="9.140625" style="3"/>
  </cols>
  <sheetData>
    <row r="1" spans="1:1" ht="18.75" x14ac:dyDescent="0.3">
      <c r="A1" s="465" t="s">
        <v>222</v>
      </c>
    </row>
    <row r="2" spans="1:1" ht="15" customHeight="1" x14ac:dyDescent="0.55000000000000004">
      <c r="A2" s="453"/>
    </row>
    <row r="3" spans="1:1" s="58" customFormat="1" ht="31.5" x14ac:dyDescent="0.25">
      <c r="A3" s="455" t="s">
        <v>223</v>
      </c>
    </row>
    <row r="4" spans="1:1" s="58" customFormat="1" ht="15.75" x14ac:dyDescent="0.25">
      <c r="A4" s="455"/>
    </row>
    <row r="5" spans="1:1" s="58" customFormat="1" ht="15.75" x14ac:dyDescent="0.25">
      <c r="A5" s="458" t="s">
        <v>224</v>
      </c>
    </row>
    <row r="6" spans="1:1" s="58" customFormat="1" ht="47.25" x14ac:dyDescent="0.25">
      <c r="A6" s="455" t="s">
        <v>225</v>
      </c>
    </row>
    <row r="7" spans="1:1" s="58" customFormat="1" ht="15.75" x14ac:dyDescent="0.25">
      <c r="A7" s="456" t="s">
        <v>226</v>
      </c>
    </row>
    <row r="8" spans="1:1" s="58" customFormat="1" ht="31.5" x14ac:dyDescent="0.25">
      <c r="A8" s="455" t="s">
        <v>227</v>
      </c>
    </row>
    <row r="9" spans="1:1" s="58" customFormat="1" ht="15.75" x14ac:dyDescent="0.25"/>
    <row r="10" spans="1:1" s="58" customFormat="1" ht="15.75" x14ac:dyDescent="0.25">
      <c r="A10" s="464" t="s">
        <v>228</v>
      </c>
    </row>
    <row r="11" spans="1:1" s="58" customFormat="1" ht="15" customHeight="1" x14ac:dyDescent="0.25">
      <c r="A11" s="457" t="s">
        <v>229</v>
      </c>
    </row>
    <row r="12" spans="1:1" s="58" customFormat="1" ht="15" customHeight="1" x14ac:dyDescent="0.25">
      <c r="A12" s="457" t="s">
        <v>230</v>
      </c>
    </row>
    <row r="13" spans="1:1" s="58" customFormat="1" ht="15" customHeight="1" x14ac:dyDescent="0.25">
      <c r="A13" s="457" t="s">
        <v>231</v>
      </c>
    </row>
    <row r="14" spans="1:1" s="58" customFormat="1" ht="15" customHeight="1" x14ac:dyDescent="0.25">
      <c r="A14" s="457" t="s">
        <v>232</v>
      </c>
    </row>
    <row r="15" spans="1:1" s="58" customFormat="1" ht="15.75" x14ac:dyDescent="0.25">
      <c r="A15" s="457" t="s">
        <v>233</v>
      </c>
    </row>
    <row r="16" spans="1:1" s="58" customFormat="1" ht="15" customHeight="1" x14ac:dyDescent="0.25">
      <c r="A16" s="457" t="s">
        <v>234</v>
      </c>
    </row>
    <row r="17" spans="1:1" s="58" customFormat="1" ht="15" customHeight="1" x14ac:dyDescent="0.25">
      <c r="A17" s="457" t="s">
        <v>235</v>
      </c>
    </row>
    <row r="18" spans="1:1" s="58" customFormat="1" ht="15" customHeight="1" x14ac:dyDescent="0.25">
      <c r="A18" s="457" t="s">
        <v>236</v>
      </c>
    </row>
    <row r="19" spans="1:1" s="58" customFormat="1" ht="15" customHeight="1" x14ac:dyDescent="0.25">
      <c r="A19" s="457" t="s">
        <v>237</v>
      </c>
    </row>
    <row r="20" spans="1:1" s="58" customFormat="1" ht="15" customHeight="1" x14ac:dyDescent="0.25">
      <c r="A20" s="457" t="s">
        <v>238</v>
      </c>
    </row>
    <row r="21" spans="1:1" ht="15" customHeight="1" x14ac:dyDescent="0.25">
      <c r="A21" s="454"/>
    </row>
  </sheetData>
  <hyperlinks>
    <hyperlink ref="A10" location="'Fed Bs Rt+IME+GME+VBP+RAA+HAC'!A1" display="Link to all data elements listed below together" xr:uid="{5941B9B2-218F-4355-A520-50752C30863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102DC-79D5-4CD4-8903-35D8E3973002}">
  <sheetPr>
    <tabColor theme="9" tint="0.59999389629810485"/>
  </sheetPr>
  <dimension ref="A1:AH274"/>
  <sheetViews>
    <sheetView zoomScale="86" zoomScaleNormal="86" workbookViewId="0">
      <pane xSplit="10" ySplit="4" topLeftCell="U5" activePane="bottomRight" state="frozen"/>
      <selection pane="topRight" activeCell="K1" sqref="K1"/>
      <selection pane="bottomLeft" activeCell="A5" sqref="A5"/>
      <selection pane="bottomRight" activeCell="A36" sqref="A36:XFD36"/>
    </sheetView>
  </sheetViews>
  <sheetFormatPr defaultRowHeight="15" x14ac:dyDescent="0.25"/>
  <cols>
    <col min="1" max="1" width="15.5703125" style="7" customWidth="1"/>
    <col min="2" max="2" width="14.42578125" style="8" customWidth="1"/>
    <col min="3" max="3" width="10.42578125" style="9" customWidth="1"/>
    <col min="4" max="4" width="41.7109375" style="8" customWidth="1"/>
    <col min="5" max="5" width="24.5703125" style="194" customWidth="1"/>
    <col min="6" max="6" width="8.85546875" style="104"/>
    <col min="7" max="7" width="10" style="104" customWidth="1"/>
    <col min="8" max="9" width="0" hidden="1" customWidth="1"/>
    <col min="10" max="10" width="14.42578125" style="8" hidden="1" customWidth="1"/>
    <col min="11" max="11" width="29.42578125" style="30" customWidth="1"/>
    <col min="12" max="12" width="28.5703125" style="30" hidden="1" customWidth="1"/>
    <col min="13" max="13" width="28.7109375" style="30" customWidth="1"/>
    <col min="14" max="14" width="19.5703125" style="30" customWidth="1"/>
    <col min="15" max="15" width="27.85546875" style="30" customWidth="1"/>
    <col min="16" max="20" width="19.5703125" style="30" customWidth="1"/>
    <col min="21" max="21" width="23.7109375" style="33" customWidth="1"/>
    <col min="22" max="25" width="19.5703125" style="30" customWidth="1"/>
    <col min="26" max="26" width="19.5703125" customWidth="1"/>
    <col min="27" max="28" width="19" style="19" customWidth="1"/>
    <col min="29" max="30" width="16" style="19" customWidth="1"/>
    <col min="31" max="31" width="21.42578125" style="19" customWidth="1"/>
    <col min="32" max="32" width="21.42578125" style="37" customWidth="1"/>
    <col min="33" max="33" width="21.42578125" customWidth="1"/>
  </cols>
  <sheetData>
    <row r="1" spans="1:34" ht="58.5" customHeight="1" x14ac:dyDescent="0.25">
      <c r="K1" s="523" t="s">
        <v>239</v>
      </c>
      <c r="L1" s="524" t="s">
        <v>240</v>
      </c>
      <c r="M1" s="525" t="s">
        <v>241</v>
      </c>
      <c r="N1" s="526"/>
      <c r="O1" s="526"/>
      <c r="P1" s="526"/>
      <c r="Q1" s="543"/>
      <c r="R1" s="543"/>
      <c r="S1" s="543"/>
      <c r="T1" s="543"/>
      <c r="U1" s="527" t="s">
        <v>242</v>
      </c>
      <c r="V1" s="526"/>
      <c r="W1" s="526"/>
      <c r="X1" s="526"/>
      <c r="Y1" s="526"/>
      <c r="Z1" s="528" t="s">
        <v>243</v>
      </c>
      <c r="AA1" s="529" t="s">
        <v>244</v>
      </c>
      <c r="AB1" s="526"/>
      <c r="AC1" s="58"/>
      <c r="AD1" s="58"/>
      <c r="AE1" s="530" t="s">
        <v>245</v>
      </c>
      <c r="AF1" s="530"/>
      <c r="AG1" s="530"/>
      <c r="AH1" s="526"/>
    </row>
    <row r="2" spans="1:34" ht="122.1" customHeight="1" x14ac:dyDescent="0.25">
      <c r="A2" s="38" t="s">
        <v>246</v>
      </c>
      <c r="B2" s="39" t="s">
        <v>247</v>
      </c>
      <c r="C2" s="39" t="s">
        <v>248</v>
      </c>
      <c r="D2" s="39" t="s">
        <v>117</v>
      </c>
      <c r="E2" s="39" t="s">
        <v>118</v>
      </c>
      <c r="F2" s="60" t="s">
        <v>249</v>
      </c>
      <c r="G2" s="60" t="s">
        <v>250</v>
      </c>
      <c r="H2" s="59" t="s">
        <v>251</v>
      </c>
      <c r="I2" s="59" t="s">
        <v>251</v>
      </c>
      <c r="J2" s="39" t="s">
        <v>252</v>
      </c>
      <c r="K2" s="60" t="s">
        <v>253</v>
      </c>
      <c r="L2" s="4"/>
      <c r="M2" s="185" t="s">
        <v>254</v>
      </c>
      <c r="N2" s="47" t="s">
        <v>255</v>
      </c>
      <c r="O2" s="185" t="s">
        <v>256</v>
      </c>
      <c r="P2" s="47" t="s">
        <v>257</v>
      </c>
      <c r="Q2" s="47" t="s">
        <v>258</v>
      </c>
      <c r="R2" s="47" t="s">
        <v>259</v>
      </c>
      <c r="S2" s="47" t="s">
        <v>260</v>
      </c>
      <c r="T2" s="47" t="s">
        <v>261</v>
      </c>
      <c r="U2" s="366" t="s">
        <v>262</v>
      </c>
      <c r="V2" s="46" t="s">
        <v>263</v>
      </c>
      <c r="W2" s="46" t="s">
        <v>264</v>
      </c>
      <c r="X2" s="46" t="s">
        <v>265</v>
      </c>
      <c r="Y2" s="46" t="s">
        <v>266</v>
      </c>
      <c r="Z2" s="195" t="s">
        <v>267</v>
      </c>
      <c r="AA2" s="195" t="s">
        <v>268</v>
      </c>
      <c r="AB2" s="77" t="s">
        <v>269</v>
      </c>
      <c r="AC2" s="195" t="s">
        <v>270</v>
      </c>
      <c r="AD2" s="78" t="s">
        <v>271</v>
      </c>
      <c r="AE2" s="522" t="s">
        <v>272</v>
      </c>
      <c r="AF2" s="76" t="s">
        <v>273</v>
      </c>
      <c r="AG2" s="195" t="s">
        <v>274</v>
      </c>
    </row>
    <row r="3" spans="1:34" x14ac:dyDescent="0.25">
      <c r="A3" s="11"/>
      <c r="B3" s="12"/>
      <c r="C3" s="45" t="s">
        <v>68</v>
      </c>
      <c r="D3" s="45" t="s">
        <v>69</v>
      </c>
      <c r="E3" s="45" t="s">
        <v>70</v>
      </c>
      <c r="F3" s="114"/>
      <c r="G3" s="114"/>
      <c r="H3" s="96"/>
      <c r="I3" s="96"/>
      <c r="J3" s="45" t="s">
        <v>71</v>
      </c>
      <c r="K3" s="45" t="s">
        <v>72</v>
      </c>
      <c r="L3" s="45" t="s">
        <v>73</v>
      </c>
      <c r="M3" s="45" t="s">
        <v>74</v>
      </c>
      <c r="N3" s="45" t="s">
        <v>75</v>
      </c>
      <c r="O3" s="45" t="s">
        <v>76</v>
      </c>
      <c r="P3" s="45" t="s">
        <v>77</v>
      </c>
      <c r="Q3" s="45" t="s">
        <v>78</v>
      </c>
      <c r="R3" s="45" t="s">
        <v>79</v>
      </c>
      <c r="S3" s="45" t="s">
        <v>80</v>
      </c>
      <c r="T3" s="45" t="s">
        <v>171</v>
      </c>
      <c r="U3" s="45" t="s">
        <v>275</v>
      </c>
      <c r="V3" s="45" t="s">
        <v>276</v>
      </c>
      <c r="W3" s="45" t="s">
        <v>277</v>
      </c>
      <c r="X3" s="45" t="s">
        <v>278</v>
      </c>
      <c r="Y3" s="45" t="s">
        <v>279</v>
      </c>
      <c r="Z3" s="45" t="s">
        <v>280</v>
      </c>
      <c r="AA3" s="45" t="s">
        <v>281</v>
      </c>
      <c r="AB3" s="45" t="s">
        <v>282</v>
      </c>
      <c r="AC3" s="45" t="s">
        <v>141</v>
      </c>
      <c r="AD3" s="45" t="s">
        <v>283</v>
      </c>
      <c r="AE3" s="45" t="s">
        <v>284</v>
      </c>
      <c r="AF3" s="45" t="s">
        <v>285</v>
      </c>
      <c r="AG3" s="45" t="s">
        <v>286</v>
      </c>
    </row>
    <row r="4" spans="1:34" ht="28.7" customHeight="1" x14ac:dyDescent="0.25">
      <c r="A4" s="13"/>
      <c r="B4" s="518">
        <v>1</v>
      </c>
      <c r="C4" s="14" t="s">
        <v>287</v>
      </c>
      <c r="D4" s="518">
        <v>3</v>
      </c>
      <c r="E4" s="518">
        <v>4</v>
      </c>
      <c r="F4" s="518">
        <v>5</v>
      </c>
      <c r="G4" s="518">
        <v>6</v>
      </c>
      <c r="H4" s="518">
        <v>7</v>
      </c>
      <c r="I4" s="518">
        <v>8</v>
      </c>
      <c r="J4" s="518">
        <v>9</v>
      </c>
      <c r="K4" s="518">
        <v>10</v>
      </c>
      <c r="L4" s="518">
        <v>11</v>
      </c>
      <c r="M4" s="518">
        <v>12</v>
      </c>
      <c r="N4" s="518">
        <v>13</v>
      </c>
      <c r="O4" s="518">
        <v>14</v>
      </c>
      <c r="P4" s="518">
        <v>15</v>
      </c>
      <c r="Q4" s="518">
        <v>16</v>
      </c>
      <c r="R4" s="518">
        <v>17</v>
      </c>
      <c r="S4" s="518">
        <v>18</v>
      </c>
      <c r="T4" s="518">
        <v>19</v>
      </c>
      <c r="U4" s="518">
        <v>20</v>
      </c>
      <c r="V4" s="518">
        <v>21</v>
      </c>
      <c r="W4" s="518">
        <v>22</v>
      </c>
      <c r="X4" s="518">
        <v>23</v>
      </c>
      <c r="Y4" s="518">
        <v>24</v>
      </c>
      <c r="Z4" s="518">
        <v>25</v>
      </c>
      <c r="AA4" s="518">
        <v>26</v>
      </c>
      <c r="AB4" s="518">
        <v>27</v>
      </c>
      <c r="AC4" s="518">
        <v>28</v>
      </c>
      <c r="AD4" s="518">
        <v>29</v>
      </c>
      <c r="AE4" s="518">
        <v>30</v>
      </c>
      <c r="AF4" s="518">
        <v>31</v>
      </c>
      <c r="AG4" s="518">
        <v>32</v>
      </c>
    </row>
    <row r="5" spans="1:34" x14ac:dyDescent="0.25">
      <c r="A5" s="10">
        <v>0</v>
      </c>
      <c r="B5" s="15">
        <v>60001</v>
      </c>
      <c r="C5" s="16" t="s">
        <v>140</v>
      </c>
      <c r="D5" s="96" t="s">
        <v>288</v>
      </c>
      <c r="E5" s="96" t="s">
        <v>289</v>
      </c>
      <c r="F5" s="152" t="str">
        <f>VLOOKUP($B5,Characteristics!$A$2:$K$86,11,FALSE)</f>
        <v xml:space="preserve"> </v>
      </c>
      <c r="G5" s="213">
        <f>VLOOKUP($B5,Characteristics!$A$2:$K$86,3,FALSE)</f>
        <v>0</v>
      </c>
      <c r="H5" s="96"/>
      <c r="I5" s="96"/>
      <c r="J5" s="15">
        <v>60001</v>
      </c>
      <c r="K5" s="120" t="str">
        <f>IFERROR(VLOOKUP(C5,'FY25 IMPACT FILE IFC-OTHER TBLS'!$A$3:$BN$52,63,FALSE),"NA")</f>
        <v>00</v>
      </c>
      <c r="L5" s="17"/>
      <c r="M5" s="119">
        <f>IF(AND(N5&lt;=1,K5=0),'FY 2025 IFC Table 1A-1E'!$C$4,'FY 2025 IFC Table 1A-1E'!$B$4)</f>
        <v>4478.09</v>
      </c>
      <c r="N5" s="120">
        <f>IFERROR(VLOOKUP($C5,'FY25 IMPACT FILE IFC-OTHER TBLS'!$A$3:$BJ$52,12,FALSE),1)</f>
        <v>1.0104</v>
      </c>
      <c r="O5" s="119">
        <f>IF(N5&lt;=1,'FY 2025 IFC Table 1A-1E'!$C$5,'FY 2025 IFC Table 1A-1E'!$B$5)</f>
        <v>2146.3000000000002</v>
      </c>
      <c r="P5" s="119">
        <f t="shared" ref="P5:P69" si="0">IFERROR((M5*N5)+O5," ")</f>
        <v>6670.9621360000001</v>
      </c>
      <c r="Q5" s="150">
        <f>'FY 2025 IFC Table 1A-1E'!$B$33</f>
        <v>512.14</v>
      </c>
      <c r="R5" s="149">
        <f>IFERROR(VLOOKUP(C5,'FY25 IMPACT FILE IFC-OTHER TBLS'!$A$3:$BJ$52,48,FALSE),1)</f>
        <v>1.0071102997919843</v>
      </c>
      <c r="S5" s="119">
        <f>IFERROR(Q5*R5," ")</f>
        <v>515.78146893546682</v>
      </c>
      <c r="T5" s="121">
        <f>P5+S5</f>
        <v>7186.7436049354674</v>
      </c>
      <c r="U5" s="367">
        <f>IFERROR(VLOOKUP($C5,'GME Add-On Posting'!$A$8:$Q$30,17,FALSE),0)</f>
        <v>132.42641394441736</v>
      </c>
      <c r="V5" s="125">
        <f>IFERROR(VLOOKUP(C5,'FY25 IMPACT FILE IFC-OTHER TBLS'!$A$3:$BJ$55,23,FALSE),0)</f>
        <v>7.9469999999999999E-2</v>
      </c>
      <c r="W5" s="125">
        <f>IFERROR(VLOOKUP(C5,'FY25 IMPACT FILE IFC-OTHER TBLS'!$A$3:$BJ$55,24,FALSE),0)</f>
        <v>8.5739999999999997E-2</v>
      </c>
      <c r="X5" s="119">
        <f t="shared" ref="X5:X36" si="1">IFERROR((P5*V5),0)</f>
        <v>530.14136094792002</v>
      </c>
      <c r="Y5" s="119">
        <f t="shared" ref="Y5:Y36" si="2">IFERROR(S5*W5,0)</f>
        <v>44.223103146526924</v>
      </c>
      <c r="Z5" s="126">
        <f>X5+Y5</f>
        <v>574.36446409444693</v>
      </c>
      <c r="AA5" s="473">
        <f>VLOOKUP(C5,'FY25 IMPACT FILE IFC-OTHER TBLS'!A3:BN53,66,FALSE)</f>
        <v>0.99021759850000002</v>
      </c>
      <c r="AB5" s="127">
        <f>IF(AA5="NA",0,P5*(AA5-1))</f>
        <v>-65.258030005649488</v>
      </c>
      <c r="AC5" s="124">
        <f>VLOOKUP(C5,'FY25 IMPACT FILE IFC-OTHER TBLS'!A3:BN53,65,FALSE)</f>
        <v>1</v>
      </c>
      <c r="AD5" s="127">
        <f>IF(AC5=0,0,P5*(AC5-1))</f>
        <v>0</v>
      </c>
      <c r="AE5" s="10" t="str">
        <f>VLOOKUP(C5,'FY25 IMPACT FILE IFC-OTHER TBLS'!A3:BL53,64,FALSE)</f>
        <v>No</v>
      </c>
      <c r="AF5" s="128">
        <f t="shared" ref="AF5:AF69" si="3">IF(AE5="Yes",-0.01,0)</f>
        <v>0</v>
      </c>
      <c r="AG5" s="129">
        <f t="shared" ref="AG5:AG36" si="4">T5*AF5</f>
        <v>0</v>
      </c>
    </row>
    <row r="6" spans="1:34" x14ac:dyDescent="0.25">
      <c r="A6" s="10">
        <v>0</v>
      </c>
      <c r="B6" s="15">
        <v>60003</v>
      </c>
      <c r="C6" s="16" t="s">
        <v>290</v>
      </c>
      <c r="D6" s="96" t="s">
        <v>291</v>
      </c>
      <c r="E6" s="96" t="s">
        <v>292</v>
      </c>
      <c r="F6" s="152" t="str">
        <f>VLOOKUP($B6,Characteristics!$A$2:$K$86,11,FALSE)</f>
        <v xml:space="preserve"> </v>
      </c>
      <c r="G6" s="213">
        <f>VLOOKUP($B6,Characteristics!$A$2:$K$86,3,FALSE)</f>
        <v>0</v>
      </c>
      <c r="H6" s="96"/>
      <c r="I6" s="96"/>
      <c r="J6" s="15">
        <v>60003</v>
      </c>
      <c r="K6" s="120" t="str">
        <f>IFERROR(VLOOKUP(C6,'FY25 IMPACT FILE IFC-OTHER TBLS'!$A$3:$BN$52,63,FALSE),"NA")</f>
        <v>00</v>
      </c>
      <c r="L6" s="18"/>
      <c r="M6" s="119">
        <f>IF(AND(N6&lt;=1,K6=0),'FY 2025 IFC Table 1A-1E'!$C$4,'FY 2025 IFC Table 1A-1E'!$B$4)</f>
        <v>4478.09</v>
      </c>
      <c r="N6" s="120">
        <f>IFERROR(VLOOKUP($C6,'FY25 IMPACT FILE IFC-OTHER TBLS'!$A$3:$BJ$52,12,FALSE),1)</f>
        <v>1.0083</v>
      </c>
      <c r="O6" s="119">
        <f>IF(N6&lt;=1,'FY 2025 IFC Table 1A-1E'!$C$5,'FY 2025 IFC Table 1A-1E'!$B$5)</f>
        <v>2146.3000000000002</v>
      </c>
      <c r="P6" s="119">
        <f t="shared" si="0"/>
        <v>6661.5581470000006</v>
      </c>
      <c r="Q6" s="150">
        <f>'FY 2025 IFC Table 1A-1E'!$B$33</f>
        <v>512.14</v>
      </c>
      <c r="R6" s="120">
        <f>IFERROR(VLOOKUP(C6,'FY25 IMPACT FILE IFC-OTHER TBLS'!$A$3:$BJ$52,48,FALSE),1)</f>
        <v>1.0056764320069</v>
      </c>
      <c r="S6" s="119">
        <f t="shared" ref="S6:S69" si="5">IFERROR(Q6*R6," ")</f>
        <v>515.04712788801373</v>
      </c>
      <c r="T6" s="121">
        <f t="shared" ref="T6:T69" si="6">P6+S6</f>
        <v>7176.6052748880147</v>
      </c>
      <c r="U6" s="367">
        <f>IFERROR(VLOOKUP($C6,'GME Add-On Posting'!$A$8:$Q$30,17,FALSE),0)</f>
        <v>0</v>
      </c>
      <c r="V6" s="125">
        <f>IFERROR(VLOOKUP(C6,'FY25 IMPACT FILE IFC-OTHER TBLS'!$A$3:$BJ$55,23,FALSE),0)</f>
        <v>0</v>
      </c>
      <c r="W6" s="125">
        <f>IFERROR(VLOOKUP(C6,'FY25 IMPACT FILE IFC-OTHER TBLS'!$A$3:$BJ$55,24,FALSE),0)</f>
        <v>0</v>
      </c>
      <c r="X6" s="119">
        <f t="shared" si="1"/>
        <v>0</v>
      </c>
      <c r="Y6" s="119">
        <f t="shared" si="2"/>
        <v>0</v>
      </c>
      <c r="Z6" s="126">
        <f t="shared" ref="Z6:Z70" si="7">X6+Y6</f>
        <v>0</v>
      </c>
      <c r="AA6" s="473">
        <f>VLOOKUP(C6,'FY25 IMPACT FILE IFC-OTHER TBLS'!A4:BN55,66,FALSE)</f>
        <v>1.0095340801999999</v>
      </c>
      <c r="AB6" s="127">
        <f t="shared" ref="AB6:AB69" si="8">IF(AA6="NA",0,P6*(AA6-1))</f>
        <v>63.511829630460767</v>
      </c>
      <c r="AC6" s="124">
        <f>VLOOKUP(C6,'FY25 IMPACT FILE IFC-OTHER TBLS'!A4:BN55,65,FALSE)</f>
        <v>0.99819999999999998</v>
      </c>
      <c r="AD6" s="127">
        <f t="shared" ref="AD6:AD54" si="9">IF(AC6=0,0,P6*(AC6-1))</f>
        <v>-11.99080466460016</v>
      </c>
      <c r="AE6" s="10" t="str">
        <f>VLOOKUP(C6,'FY25 IMPACT FILE IFC-OTHER TBLS'!A4:BL55,64,FALSE)</f>
        <v>No</v>
      </c>
      <c r="AF6" s="130">
        <f t="shared" si="3"/>
        <v>0</v>
      </c>
      <c r="AG6" s="129">
        <f t="shared" si="4"/>
        <v>0</v>
      </c>
    </row>
    <row r="7" spans="1:34" x14ac:dyDescent="0.25">
      <c r="A7" s="10">
        <v>0</v>
      </c>
      <c r="B7" s="15">
        <v>60004</v>
      </c>
      <c r="C7" s="16" t="s">
        <v>293</v>
      </c>
      <c r="D7" s="96" t="s">
        <v>294</v>
      </c>
      <c r="E7" s="96" t="s">
        <v>295</v>
      </c>
      <c r="F7" s="152" t="str">
        <f>VLOOKUP($B7,Characteristics!$A$2:$K$86,11,FALSE)</f>
        <v xml:space="preserve"> </v>
      </c>
      <c r="G7" s="213">
        <f>VLOOKUP($B7,Characteristics!$A$2:$K$86,3,FALSE)</f>
        <v>0</v>
      </c>
      <c r="H7" s="96"/>
      <c r="I7" s="96"/>
      <c r="J7" s="15">
        <v>60004</v>
      </c>
      <c r="K7" s="120" t="str">
        <f>IFERROR(VLOOKUP(C7,'FY25 IMPACT FILE IFC-OTHER TBLS'!$A$3:$BN$52,63,FALSE),"NA")</f>
        <v>00</v>
      </c>
      <c r="L7" s="18"/>
      <c r="M7" s="119">
        <f>IF(AND(N7&lt;=1,K7=0),'FY 2025 IFC Table 1A-1E'!$C$4,'FY 2025 IFC Table 1A-1E'!$B$4)</f>
        <v>4478.09</v>
      </c>
      <c r="N7" s="120">
        <f>IFERROR(VLOOKUP($C7,'FY25 IMPACT FILE IFC-OTHER TBLS'!$A$3:$BJ$52,12,FALSE),1)</f>
        <v>1.0083</v>
      </c>
      <c r="O7" s="119">
        <f>IF(N7&lt;=1,'FY 2025 IFC Table 1A-1E'!$C$5,'FY 2025 IFC Table 1A-1E'!$B$5)</f>
        <v>2146.3000000000002</v>
      </c>
      <c r="P7" s="119">
        <f t="shared" si="0"/>
        <v>6661.5581470000006</v>
      </c>
      <c r="Q7" s="150">
        <f>'FY 2025 IFC Table 1A-1E'!$B$33</f>
        <v>512.14</v>
      </c>
      <c r="R7" s="120">
        <f>IFERROR(VLOOKUP(C7,'FY25 IMPACT FILE IFC-OTHER TBLS'!$A$3:$BJ$52,48,FALSE),1)</f>
        <v>1.0056764320069</v>
      </c>
      <c r="S7" s="119">
        <f t="shared" si="5"/>
        <v>515.04712788801373</v>
      </c>
      <c r="T7" s="121">
        <f t="shared" si="6"/>
        <v>7176.6052748880147</v>
      </c>
      <c r="U7" s="367">
        <f>IFERROR(VLOOKUP($C7,'GME Add-On Posting'!$A$8:$Q$30,17,FALSE),0)</f>
        <v>0</v>
      </c>
      <c r="V7" s="125">
        <f>IFERROR(VLOOKUP(C7,'FY25 IMPACT FILE IFC-OTHER TBLS'!$A$3:$BJ$55,23,FALSE),0)</f>
        <v>0</v>
      </c>
      <c r="W7" s="125">
        <f>IFERROR(VLOOKUP(C7,'FY25 IMPACT FILE IFC-OTHER TBLS'!$A$3:$BJ$55,24,FALSE),0)</f>
        <v>0</v>
      </c>
      <c r="X7" s="119">
        <f t="shared" si="1"/>
        <v>0</v>
      </c>
      <c r="Y7" s="119">
        <f t="shared" si="2"/>
        <v>0</v>
      </c>
      <c r="Z7" s="126">
        <f t="shared" si="7"/>
        <v>0</v>
      </c>
      <c r="AA7" s="473">
        <f>VLOOKUP(C7,'FY25 IMPACT FILE IFC-OTHER TBLS'!A5:BN56,66,FALSE)</f>
        <v>0.99528910719999997</v>
      </c>
      <c r="AB7" s="127">
        <f t="shared" si="8"/>
        <v>-31.381886311483864</v>
      </c>
      <c r="AC7" s="124">
        <f>VLOOKUP(C7,'FY25 IMPACT FILE IFC-OTHER TBLS'!A5:BN56,65,FALSE)</f>
        <v>1</v>
      </c>
      <c r="AD7" s="127">
        <f t="shared" si="9"/>
        <v>0</v>
      </c>
      <c r="AE7" s="10" t="str">
        <f>VLOOKUP(C7,'FY25 IMPACT FILE IFC-OTHER TBLS'!A5:BL56,64,FALSE)</f>
        <v>Yes</v>
      </c>
      <c r="AF7" s="130">
        <f t="shared" si="3"/>
        <v>-0.01</v>
      </c>
      <c r="AG7" s="129">
        <f t="shared" si="4"/>
        <v>-71.766052748880142</v>
      </c>
    </row>
    <row r="8" spans="1:34" x14ac:dyDescent="0.25">
      <c r="A8" s="10">
        <v>0</v>
      </c>
      <c r="B8" s="15">
        <v>60006</v>
      </c>
      <c r="C8" s="16" t="s">
        <v>296</v>
      </c>
      <c r="D8" s="96" t="s">
        <v>297</v>
      </c>
      <c r="E8" s="96" t="s">
        <v>240</v>
      </c>
      <c r="F8" s="152" t="str">
        <f>VLOOKUP($B8,Characteristics!$A$2:$K$86,11,FALSE)</f>
        <v>SCH</v>
      </c>
      <c r="G8" s="213">
        <f>VLOOKUP($B8,Characteristics!$A$2:$K$86,3,FALSE)</f>
        <v>1</v>
      </c>
      <c r="H8" s="96"/>
      <c r="I8" s="96"/>
      <c r="J8" s="15">
        <v>60006</v>
      </c>
      <c r="K8" s="120" t="str">
        <f>IFERROR(VLOOKUP(C8,'FY25 IMPACT FILE IFC-OTHER TBLS'!$A$3:$BN$52,63,FALSE),"NA")</f>
        <v>00</v>
      </c>
      <c r="L8" s="18"/>
      <c r="M8" s="119">
        <f>IF(AND(N8&lt;=1,K8=0),'FY 2025 IFC Table 1A-1E'!$C$4,'FY 2025 IFC Table 1A-1E'!$B$4)</f>
        <v>4478.09</v>
      </c>
      <c r="N8" s="120">
        <f>IFERROR(VLOOKUP($C8,'FY25 IMPACT FILE IFC-OTHER TBLS'!$A$3:$BJ$52,12,FALSE),1)</f>
        <v>1.0083</v>
      </c>
      <c r="O8" s="119">
        <f>IF(N8&lt;=1,'FY 2025 IFC Table 1A-1E'!$C$5,'FY 2025 IFC Table 1A-1E'!$B$5)</f>
        <v>2146.3000000000002</v>
      </c>
      <c r="P8" s="119">
        <f t="shared" si="0"/>
        <v>6661.5581470000006</v>
      </c>
      <c r="Q8" s="150">
        <f>'FY 2025 IFC Table 1A-1E'!$B$33</f>
        <v>512.14</v>
      </c>
      <c r="R8" s="120">
        <f>IFERROR(VLOOKUP(C8,'FY25 IMPACT FILE IFC-OTHER TBLS'!$A$3:$BJ$52,48,FALSE),1)</f>
        <v>1.0056764320069</v>
      </c>
      <c r="S8" s="119">
        <f t="shared" si="5"/>
        <v>515.04712788801373</v>
      </c>
      <c r="T8" s="121">
        <f t="shared" si="6"/>
        <v>7176.6052748880147</v>
      </c>
      <c r="U8" s="367">
        <f>IFERROR(VLOOKUP($C8,'GME Add-On Posting'!$A$8:$Q$30,17,FALSE),0)</f>
        <v>0</v>
      </c>
      <c r="V8" s="125">
        <f>IFERROR(VLOOKUP(C8,'FY25 IMPACT FILE IFC-OTHER TBLS'!$A$3:$BJ$55,23,FALSE),0)</f>
        <v>0</v>
      </c>
      <c r="W8" s="125">
        <f>IFERROR(VLOOKUP(C8,'FY25 IMPACT FILE IFC-OTHER TBLS'!$A$3:$BJ$55,24,FALSE),0)</f>
        <v>0</v>
      </c>
      <c r="X8" s="119">
        <f t="shared" si="1"/>
        <v>0</v>
      </c>
      <c r="Y8" s="119">
        <f t="shared" si="2"/>
        <v>0</v>
      </c>
      <c r="Z8" s="126">
        <f t="shared" si="7"/>
        <v>0</v>
      </c>
      <c r="AA8" s="473">
        <f>VLOOKUP(C8,'FY25 IMPACT FILE IFC-OTHER TBLS'!A6:BN57,66,FALSE)</f>
        <v>1.0083407841000001</v>
      </c>
      <c r="AB8" s="127">
        <f t="shared" si="8"/>
        <v>55.562618273723423</v>
      </c>
      <c r="AC8" s="124">
        <f>VLOOKUP(C8,'FY25 IMPACT FILE IFC-OTHER TBLS'!A6:BN57,65,FALSE)</f>
        <v>1</v>
      </c>
      <c r="AD8" s="127">
        <f t="shared" si="9"/>
        <v>0</v>
      </c>
      <c r="AE8" s="10" t="str">
        <f>VLOOKUP(C8,'FY25 IMPACT FILE IFC-OTHER TBLS'!A6:BL57,64,FALSE)</f>
        <v>No</v>
      </c>
      <c r="AF8" s="130">
        <f t="shared" si="3"/>
        <v>0</v>
      </c>
      <c r="AG8" s="129">
        <f t="shared" si="4"/>
        <v>0</v>
      </c>
    </row>
    <row r="9" spans="1:34" x14ac:dyDescent="0.25">
      <c r="A9" s="10">
        <v>0</v>
      </c>
      <c r="B9" s="15">
        <v>60008</v>
      </c>
      <c r="C9" s="16" t="s">
        <v>298</v>
      </c>
      <c r="D9" s="96" t="s">
        <v>299</v>
      </c>
      <c r="E9" s="96" t="s">
        <v>300</v>
      </c>
      <c r="F9" s="152" t="str">
        <f>VLOOKUP($B9,Characteristics!$A$2:$K$86,11,FALSE)</f>
        <v>SCH</v>
      </c>
      <c r="G9" s="213">
        <f>VLOOKUP($B9,Characteristics!$A$2:$K$86,3,FALSE)</f>
        <v>1</v>
      </c>
      <c r="H9" s="96"/>
      <c r="I9" s="96"/>
      <c r="J9" s="15">
        <v>60008</v>
      </c>
      <c r="K9" s="120" t="str">
        <f>IFERROR(VLOOKUP(C9,'FY25 IMPACT FILE IFC-OTHER TBLS'!$A$3:$BN$52,63,FALSE),"NA")</f>
        <v>00</v>
      </c>
      <c r="L9" s="18"/>
      <c r="M9" s="119">
        <f>IF(AND(N9&lt;=1,K9=0),'FY 2025 IFC Table 1A-1E'!$C$4,'FY 2025 IFC Table 1A-1E'!$B$4)</f>
        <v>4478.09</v>
      </c>
      <c r="N9" s="120">
        <f>IFERROR(VLOOKUP($C9,'FY25 IMPACT FILE IFC-OTHER TBLS'!$A$3:$BJ$52,12,FALSE),1)</f>
        <v>1.0083</v>
      </c>
      <c r="O9" s="119">
        <f>IF(N9&lt;=1,'FY 2025 IFC Table 1A-1E'!$C$5,'FY 2025 IFC Table 1A-1E'!$B$5)</f>
        <v>2146.3000000000002</v>
      </c>
      <c r="P9" s="119">
        <f t="shared" si="0"/>
        <v>6661.5581470000006</v>
      </c>
      <c r="Q9" s="150">
        <f>'FY 2025 IFC Table 1A-1E'!$B$33</f>
        <v>512.14</v>
      </c>
      <c r="R9" s="120">
        <f>IFERROR(VLOOKUP(C9,'FY25 IMPACT FILE IFC-OTHER TBLS'!$A$3:$BJ$52,48,FALSE),1)</f>
        <v>1.0056764320069</v>
      </c>
      <c r="S9" s="119">
        <f t="shared" si="5"/>
        <v>515.04712788801373</v>
      </c>
      <c r="T9" s="121">
        <f t="shared" si="6"/>
        <v>7176.6052748880147</v>
      </c>
      <c r="U9" s="367">
        <f>IFERROR(VLOOKUP($C9,'GME Add-On Posting'!$A$8:$Q$30,17,FALSE),0)</f>
        <v>0</v>
      </c>
      <c r="V9" s="125">
        <f>IFERROR(VLOOKUP(C9,'FY25 IMPACT FILE IFC-OTHER TBLS'!$A$3:$BJ$55,23,FALSE),0)</f>
        <v>0</v>
      </c>
      <c r="W9" s="125">
        <f>IFERROR(VLOOKUP(C9,'FY25 IMPACT FILE IFC-OTHER TBLS'!$A$3:$BJ$55,24,FALSE),0)</f>
        <v>0</v>
      </c>
      <c r="X9" s="119">
        <f t="shared" si="1"/>
        <v>0</v>
      </c>
      <c r="Y9" s="119">
        <f t="shared" si="2"/>
        <v>0</v>
      </c>
      <c r="Z9" s="126">
        <f t="shared" si="7"/>
        <v>0</v>
      </c>
      <c r="AA9" s="473" t="str">
        <f>VLOOKUP(C9,'FY25 IMPACT FILE IFC-OTHER TBLS'!A7:BN58,66,FALSE)</f>
        <v>NA</v>
      </c>
      <c r="AB9" s="127">
        <f t="shared" si="8"/>
        <v>0</v>
      </c>
      <c r="AC9" s="124">
        <f>VLOOKUP(C9,'FY25 IMPACT FILE IFC-OTHER TBLS'!A7:BN58,65,FALSE)</f>
        <v>1</v>
      </c>
      <c r="AD9" s="127">
        <f t="shared" si="9"/>
        <v>0</v>
      </c>
      <c r="AE9" s="10" t="str">
        <f>VLOOKUP(C9,'FY25 IMPACT FILE IFC-OTHER TBLS'!A7:BL58,64,FALSE)</f>
        <v>Yes</v>
      </c>
      <c r="AF9" s="130">
        <f t="shared" si="3"/>
        <v>-0.01</v>
      </c>
      <c r="AG9" s="129">
        <f t="shared" si="4"/>
        <v>-71.766052748880142</v>
      </c>
    </row>
    <row r="10" spans="1:34" x14ac:dyDescent="0.25">
      <c r="A10" s="10">
        <v>0</v>
      </c>
      <c r="B10" s="15">
        <v>60009</v>
      </c>
      <c r="C10" s="16" t="s">
        <v>301</v>
      </c>
      <c r="D10" s="96" t="s">
        <v>302</v>
      </c>
      <c r="E10" s="96" t="s">
        <v>295</v>
      </c>
      <c r="F10" s="152" t="str">
        <f>VLOOKUP($B10,Characteristics!$A$2:$K$86,11,FALSE)</f>
        <v xml:space="preserve"> </v>
      </c>
      <c r="G10" s="213">
        <f>VLOOKUP($B10,Characteristics!$A$2:$K$86,3,FALSE)</f>
        <v>0</v>
      </c>
      <c r="H10" s="96"/>
      <c r="I10" s="96"/>
      <c r="J10" s="15">
        <v>60009</v>
      </c>
      <c r="K10" s="120" t="str">
        <f>IFERROR(VLOOKUP(C10,'FY25 IMPACT FILE IFC-OTHER TBLS'!$A$3:$BN$52,63,FALSE),"NA")</f>
        <v>00</v>
      </c>
      <c r="L10" s="18"/>
      <c r="M10" s="119">
        <f>IF(AND(N10&lt;=1,K10=0),'FY 2025 IFC Table 1A-1E'!$C$4,'FY 2025 IFC Table 1A-1E'!$B$4)</f>
        <v>4478.09</v>
      </c>
      <c r="N10" s="120">
        <f>IFERROR(VLOOKUP($C10,'FY25 IMPACT FILE IFC-OTHER TBLS'!$A$3:$BJ$52,12,FALSE),1)</f>
        <v>1.0083</v>
      </c>
      <c r="O10" s="119">
        <f>IF(N10&lt;=1,'FY 2025 IFC Table 1A-1E'!$C$5,'FY 2025 IFC Table 1A-1E'!$B$5)</f>
        <v>2146.3000000000002</v>
      </c>
      <c r="P10" s="119">
        <f t="shared" si="0"/>
        <v>6661.5581470000006</v>
      </c>
      <c r="Q10" s="150">
        <f>'FY 2025 IFC Table 1A-1E'!$B$33</f>
        <v>512.14</v>
      </c>
      <c r="R10" s="120">
        <f>IFERROR(VLOOKUP(C10,'FY25 IMPACT FILE IFC-OTHER TBLS'!$A$3:$BJ$52,48,FALSE),1)</f>
        <v>1.0056764320069</v>
      </c>
      <c r="S10" s="119">
        <f t="shared" si="5"/>
        <v>515.04712788801373</v>
      </c>
      <c r="T10" s="121">
        <f t="shared" si="6"/>
        <v>7176.6052748880147</v>
      </c>
      <c r="U10" s="367">
        <f>IFERROR(VLOOKUP($C10,'GME Add-On Posting'!$A$8:$Q$30,17,FALSE),0)</f>
        <v>0</v>
      </c>
      <c r="V10" s="125">
        <f>IFERROR(VLOOKUP(C10,'FY25 IMPACT FILE IFC-OTHER TBLS'!$A$3:$BJ$55,23,FALSE),0)</f>
        <v>0</v>
      </c>
      <c r="W10" s="125">
        <f>IFERROR(VLOOKUP(C10,'FY25 IMPACT FILE IFC-OTHER TBLS'!$A$3:$BJ$55,24,FALSE),0)</f>
        <v>0</v>
      </c>
      <c r="X10" s="119">
        <f t="shared" si="1"/>
        <v>0</v>
      </c>
      <c r="Y10" s="119">
        <f t="shared" si="2"/>
        <v>0</v>
      </c>
      <c r="Z10" s="126">
        <f t="shared" si="7"/>
        <v>0</v>
      </c>
      <c r="AA10" s="473">
        <f>VLOOKUP(C10,'FY25 IMPACT FILE IFC-OTHER TBLS'!A8:BN59,66,FALSE)</f>
        <v>0.99577388379999998</v>
      </c>
      <c r="AB10" s="127">
        <f t="shared" si="8"/>
        <v>-28.152518802278809</v>
      </c>
      <c r="AC10" s="124">
        <f>VLOOKUP(C10,'FY25 IMPACT FILE IFC-OTHER TBLS'!A8:BN59,65,FALSE)</f>
        <v>1</v>
      </c>
      <c r="AD10" s="127">
        <f t="shared" si="9"/>
        <v>0</v>
      </c>
      <c r="AE10" s="10" t="str">
        <f>VLOOKUP(C10,'FY25 IMPACT FILE IFC-OTHER TBLS'!A8:BL59,64,FALSE)</f>
        <v>No</v>
      </c>
      <c r="AF10" s="130">
        <f t="shared" si="3"/>
        <v>0</v>
      </c>
      <c r="AG10" s="129">
        <f t="shared" si="4"/>
        <v>0</v>
      </c>
    </row>
    <row r="11" spans="1:34" x14ac:dyDescent="0.25">
      <c r="A11" s="10">
        <v>0</v>
      </c>
      <c r="B11" s="15">
        <v>60010</v>
      </c>
      <c r="C11" s="16" t="s">
        <v>142</v>
      </c>
      <c r="D11" s="96" t="s">
        <v>303</v>
      </c>
      <c r="E11" s="96" t="s">
        <v>304</v>
      </c>
      <c r="F11" s="152" t="str">
        <f>VLOOKUP($B11,Characteristics!$A$2:$K$86,11,FALSE)</f>
        <v xml:space="preserve"> </v>
      </c>
      <c r="G11" s="213">
        <f>VLOOKUP($B11,Characteristics!$A$2:$K$86,3,FALSE)</f>
        <v>0</v>
      </c>
      <c r="H11" s="96"/>
      <c r="I11" s="96"/>
      <c r="J11" s="15">
        <v>60010</v>
      </c>
      <c r="K11" s="120" t="str">
        <f>IFERROR(VLOOKUP(C11,'FY25 IMPACT FILE IFC-OTHER TBLS'!$A$3:$BN$52,63,FALSE),"NA")</f>
        <v>00</v>
      </c>
      <c r="L11" s="18"/>
      <c r="M11" s="119">
        <f>IF(AND(N11&lt;=1,K11=0),'FY 2025 IFC Table 1A-1E'!$C$4,'FY 2025 IFC Table 1A-1E'!$B$4)</f>
        <v>4478.09</v>
      </c>
      <c r="N11" s="120">
        <f>IFERROR(VLOOKUP($C11,'FY25 IMPACT FILE IFC-OTHER TBLS'!$A$3:$BJ$52,12,FALSE),1)</f>
        <v>1.0083</v>
      </c>
      <c r="O11" s="119">
        <f>IF(N11&lt;=1,'FY 2025 IFC Table 1A-1E'!$C$5,'FY 2025 IFC Table 1A-1E'!$B$5)</f>
        <v>2146.3000000000002</v>
      </c>
      <c r="P11" s="119">
        <f>IFERROR((M11*N11)+O11," ")</f>
        <v>6661.5581470000006</v>
      </c>
      <c r="Q11" s="150">
        <f>'FY 2025 IFC Table 1A-1E'!$B$33</f>
        <v>512.14</v>
      </c>
      <c r="R11" s="120">
        <f>IFERROR(VLOOKUP(C11,'FY25 IMPACT FILE IFC-OTHER TBLS'!$A$3:$BJ$52,48,FALSE),1)</f>
        <v>1.0056764320069</v>
      </c>
      <c r="S11" s="119">
        <f t="shared" si="5"/>
        <v>515.04712788801373</v>
      </c>
      <c r="T11" s="121">
        <f t="shared" si="6"/>
        <v>7176.6052748880147</v>
      </c>
      <c r="U11" s="367">
        <f>IFERROR(VLOOKUP($C11,'GME Add-On Posting'!$A$8:$Q$30,17,FALSE),0)</f>
        <v>65.349985116164177</v>
      </c>
      <c r="V11" s="503">
        <f>IFERROR(VLOOKUP(C11,'FY25 IMPACT FILE IFC-OTHER TBLS'!$A$3:$BJ$55,23,FALSE),0)</f>
        <v>4.1700000000000001E-2</v>
      </c>
      <c r="W11" s="125">
        <f>IFERROR(VLOOKUP(C11,'FY25 IMPACT FILE IFC-OTHER TBLS'!$A$3:$BJ$55,24,FALSE),0)</f>
        <v>3.4770000000000002E-2</v>
      </c>
      <c r="X11" s="119">
        <f t="shared" si="1"/>
        <v>277.78697472990001</v>
      </c>
      <c r="Y11" s="119">
        <f t="shared" si="2"/>
        <v>17.908188636666239</v>
      </c>
      <c r="Z11" s="126">
        <f t="shared" si="7"/>
        <v>295.69516336656625</v>
      </c>
      <c r="AA11" s="473">
        <f>VLOOKUP(C11,'FY25 IMPACT FILE IFC-OTHER TBLS'!A9:BN60,66,FALSE)</f>
        <v>1.0086391080999999</v>
      </c>
      <c r="AB11" s="127">
        <f t="shared" si="8"/>
        <v>57.549920946368054</v>
      </c>
      <c r="AC11" s="124">
        <f>VLOOKUP(C11,'FY25 IMPACT FILE IFC-OTHER TBLS'!A9:BN60,65,FALSE)</f>
        <v>1</v>
      </c>
      <c r="AD11" s="127">
        <f t="shared" si="9"/>
        <v>0</v>
      </c>
      <c r="AE11" s="10" t="str">
        <f>VLOOKUP(C11,'FY25 IMPACT FILE IFC-OTHER TBLS'!A9:BL60,64,FALSE)</f>
        <v>No</v>
      </c>
      <c r="AF11" s="130">
        <f t="shared" si="3"/>
        <v>0</v>
      </c>
      <c r="AG11" s="129">
        <f t="shared" si="4"/>
        <v>0</v>
      </c>
    </row>
    <row r="12" spans="1:34" x14ac:dyDescent="0.25">
      <c r="A12" s="10">
        <v>0</v>
      </c>
      <c r="B12" s="15">
        <v>60011</v>
      </c>
      <c r="C12" s="16" t="s">
        <v>143</v>
      </c>
      <c r="D12" s="96" t="s">
        <v>305</v>
      </c>
      <c r="E12" s="96" t="s">
        <v>240</v>
      </c>
      <c r="F12" s="152" t="str">
        <f>VLOOKUP($B12,Characteristics!$A$2:$K$86,11,FALSE)</f>
        <v xml:space="preserve"> </v>
      </c>
      <c r="G12" s="213">
        <f>VLOOKUP($B12,Characteristics!$A$2:$K$86,3,FALSE)</f>
        <v>0</v>
      </c>
      <c r="H12" s="96"/>
      <c r="I12" s="96"/>
      <c r="J12" s="15">
        <v>60011</v>
      </c>
      <c r="K12" s="120" t="str">
        <f>IFERROR(VLOOKUP(C12,'FY25 IMPACT FILE IFC-OTHER TBLS'!$A$3:$BN$52,63,FALSE),"NA")</f>
        <v>00</v>
      </c>
      <c r="L12" s="18"/>
      <c r="M12" s="119">
        <f>IF(AND(N12&lt;=1,K12=0),'FY 2025 IFC Table 1A-1E'!$C$4,'FY 2025 IFC Table 1A-1E'!$B$4)</f>
        <v>4478.09</v>
      </c>
      <c r="N12" s="120">
        <f>IFERROR(VLOOKUP($C12,'FY25 IMPACT FILE IFC-OTHER TBLS'!$A$3:$BJ$52,12,FALSE),1)</f>
        <v>1.0083</v>
      </c>
      <c r="O12" s="119">
        <f>IF(N12&lt;=1,'FY 2025 IFC Table 1A-1E'!$C$5,'FY 2025 IFC Table 1A-1E'!$B$5)</f>
        <v>2146.3000000000002</v>
      </c>
      <c r="P12" s="119">
        <f t="shared" si="0"/>
        <v>6661.5581470000006</v>
      </c>
      <c r="Q12" s="150">
        <f>'FY 2025 IFC Table 1A-1E'!$B$33</f>
        <v>512.14</v>
      </c>
      <c r="R12" s="120">
        <f>IFERROR(VLOOKUP(C12,'FY25 IMPACT FILE IFC-OTHER TBLS'!$A$3:$BJ$52,48,FALSE),1)</f>
        <v>1.0056764320069</v>
      </c>
      <c r="S12" s="119">
        <f t="shared" si="5"/>
        <v>515.04712788801373</v>
      </c>
      <c r="T12" s="121">
        <f t="shared" si="6"/>
        <v>7176.6052748880147</v>
      </c>
      <c r="U12" s="368">
        <v>0</v>
      </c>
      <c r="V12" s="125">
        <f>IFERROR(VLOOKUP(C12,'FY25 IMPACT FILE IFC-OTHER TBLS'!$A$3:$BJ$55,23,FALSE),0)</f>
        <v>0.19048999999999999</v>
      </c>
      <c r="W12" s="125">
        <f>IFERROR(VLOOKUP(C12,'FY25 IMPACT FILE IFC-OTHER TBLS'!$A$3:$BJ$55,24,FALSE),0)</f>
        <v>0.15522</v>
      </c>
      <c r="X12" s="119">
        <f t="shared" si="1"/>
        <v>1268.9602114220302</v>
      </c>
      <c r="Y12" s="119">
        <f t="shared" si="2"/>
        <v>79.945615190777488</v>
      </c>
      <c r="Z12" s="126">
        <f t="shared" si="7"/>
        <v>1348.9058266128077</v>
      </c>
      <c r="AA12" s="473">
        <f>VLOOKUP(C12,'FY25 IMPACT FILE IFC-OTHER TBLS'!A10:BN61,66,FALSE)</f>
        <v>0.99834692859999996</v>
      </c>
      <c r="AB12" s="127">
        <f t="shared" si="8"/>
        <v>-11.012031252242958</v>
      </c>
      <c r="AC12" s="124">
        <f>VLOOKUP(C12,'FY25 IMPACT FILE IFC-OTHER TBLS'!A10:BN61,65,FALSE)</f>
        <v>0.99950000000000006</v>
      </c>
      <c r="AD12" s="127">
        <f t="shared" si="9"/>
        <v>-3.3307790734996336</v>
      </c>
      <c r="AE12" s="10" t="str">
        <f>VLOOKUP(C12,'FY25 IMPACT FILE IFC-OTHER TBLS'!A10:BL61,64,FALSE)</f>
        <v>Yes</v>
      </c>
      <c r="AF12" s="130">
        <f t="shared" si="3"/>
        <v>-0.01</v>
      </c>
      <c r="AG12" s="129">
        <f t="shared" si="4"/>
        <v>-71.766052748880142</v>
      </c>
    </row>
    <row r="13" spans="1:34" x14ac:dyDescent="0.25">
      <c r="A13" s="10">
        <v>0</v>
      </c>
      <c r="B13" s="15">
        <v>60012</v>
      </c>
      <c r="C13" s="16" t="s">
        <v>144</v>
      </c>
      <c r="D13" s="96" t="s">
        <v>306</v>
      </c>
      <c r="E13" s="96" t="s">
        <v>292</v>
      </c>
      <c r="F13" s="152" t="str">
        <f>VLOOKUP($B13,Characteristics!$A$2:$K$86,11,FALSE)</f>
        <v xml:space="preserve"> </v>
      </c>
      <c r="G13" s="213">
        <f>VLOOKUP($B13,Characteristics!$A$2:$K$86,3,FALSE)</f>
        <v>0</v>
      </c>
      <c r="H13" s="96"/>
      <c r="I13" s="96"/>
      <c r="J13" s="15">
        <v>60012</v>
      </c>
      <c r="K13" s="120" t="str">
        <f>IFERROR(VLOOKUP(C13,'FY25 IMPACT FILE IFC-OTHER TBLS'!$A$3:$BN$52,63,FALSE),"NA")</f>
        <v>00</v>
      </c>
      <c r="L13" s="18"/>
      <c r="M13" s="119">
        <f>IF(AND(N13&lt;=1,K13=0),'FY 2025 IFC Table 1A-1E'!$C$4,'FY 2025 IFC Table 1A-1E'!$B$4)</f>
        <v>4478.09</v>
      </c>
      <c r="N13" s="120">
        <f>IFERROR(VLOOKUP($C13,'FY25 IMPACT FILE IFC-OTHER TBLS'!$A$3:$BJ$52,12,FALSE),1)</f>
        <v>1.0083</v>
      </c>
      <c r="O13" s="119">
        <f>IF(N13&lt;=1,'FY 2025 IFC Table 1A-1E'!$C$5,'FY 2025 IFC Table 1A-1E'!$B$5)</f>
        <v>2146.3000000000002</v>
      </c>
      <c r="P13" s="119">
        <f t="shared" si="0"/>
        <v>6661.5581470000006</v>
      </c>
      <c r="Q13" s="150">
        <f>'FY 2025 IFC Table 1A-1E'!$B$33</f>
        <v>512.14</v>
      </c>
      <c r="R13" s="120">
        <f>IFERROR(VLOOKUP(C13,'FY25 IMPACT FILE IFC-OTHER TBLS'!$A$3:$BJ$52,48,FALSE),1)</f>
        <v>1.0056764320069</v>
      </c>
      <c r="S13" s="119">
        <f t="shared" si="5"/>
        <v>515.04712788801373</v>
      </c>
      <c r="T13" s="121">
        <f t="shared" si="6"/>
        <v>7176.6052748880147</v>
      </c>
      <c r="U13" s="367">
        <f>IFERROR(VLOOKUP($C13,'GME Add-On Posting'!$A$8:$Q$30,17,FALSE),0)</f>
        <v>165.4842756530999</v>
      </c>
      <c r="V13" s="125">
        <f>IFERROR(VLOOKUP(C13,'FY25 IMPACT FILE IFC-OTHER TBLS'!$A$3:$BJ$55,23,FALSE),0)</f>
        <v>0.15223</v>
      </c>
      <c r="W13" s="125">
        <f>IFERROR(VLOOKUP(C13,'FY25 IMPACT FILE IFC-OTHER TBLS'!$A$3:$BJ$55,24,FALSE),0)</f>
        <v>0.19092999999999999</v>
      </c>
      <c r="X13" s="119">
        <f t="shared" si="1"/>
        <v>1014.0889967178101</v>
      </c>
      <c r="Y13" s="119">
        <f t="shared" si="2"/>
        <v>98.33794812765845</v>
      </c>
      <c r="Z13" s="126">
        <f t="shared" si="7"/>
        <v>1112.4269448454686</v>
      </c>
      <c r="AA13" s="473">
        <f>VLOOKUP(C13,'FY25 IMPACT FILE IFC-OTHER TBLS'!A11:BN62,66,FALSE)</f>
        <v>1.0019268171</v>
      </c>
      <c r="AB13" s="127">
        <f t="shared" si="8"/>
        <v>12.835604150283768</v>
      </c>
      <c r="AC13" s="124">
        <f>VLOOKUP(C13,'FY25 IMPACT FILE IFC-OTHER TBLS'!A11:BN62,65,FALSE)</f>
        <v>1</v>
      </c>
      <c r="AD13" s="127">
        <f t="shared" si="9"/>
        <v>0</v>
      </c>
      <c r="AE13" s="10" t="str">
        <f>VLOOKUP(C13,'FY25 IMPACT FILE IFC-OTHER TBLS'!A11:BL62,64,FALSE)</f>
        <v>No</v>
      </c>
      <c r="AF13" s="130">
        <f t="shared" si="3"/>
        <v>0</v>
      </c>
      <c r="AG13" s="129">
        <f t="shared" si="4"/>
        <v>0</v>
      </c>
    </row>
    <row r="14" spans="1:34" x14ac:dyDescent="0.25">
      <c r="A14" s="10">
        <v>0</v>
      </c>
      <c r="B14" s="15">
        <v>60013</v>
      </c>
      <c r="C14" s="16" t="s">
        <v>307</v>
      </c>
      <c r="D14" s="96" t="s">
        <v>308</v>
      </c>
      <c r="E14" s="96" t="s">
        <v>292</v>
      </c>
      <c r="F14" s="152" t="str">
        <f>VLOOKUP($B14,Characteristics!$A$2:$K$86,11,FALSE)</f>
        <v>SCH</v>
      </c>
      <c r="G14" s="213">
        <f>VLOOKUP($B14,Characteristics!$A$2:$K$86,3,FALSE)</f>
        <v>1</v>
      </c>
      <c r="H14" s="96"/>
      <c r="I14" s="96"/>
      <c r="J14" s="15">
        <v>60013</v>
      </c>
      <c r="K14" s="120" t="str">
        <f>IFERROR(VLOOKUP(C14,'FY25 IMPACT FILE IFC-OTHER TBLS'!$A$3:$BN$52,63,FALSE),"NA")</f>
        <v>00</v>
      </c>
      <c r="L14" s="18"/>
      <c r="M14" s="119">
        <f>IF(AND(N14&lt;=1,K14=0),'FY 2025 IFC Table 1A-1E'!$C$4,'FY 2025 IFC Table 1A-1E'!$B$4)</f>
        <v>4478.09</v>
      </c>
      <c r="N14" s="120">
        <f>IFERROR(VLOOKUP($C14,'FY25 IMPACT FILE IFC-OTHER TBLS'!$A$3:$BJ$52,12,FALSE),1)</f>
        <v>1.0083</v>
      </c>
      <c r="O14" s="119">
        <f>IF(N14&lt;=1,'FY 2025 IFC Table 1A-1E'!$C$5,'FY 2025 IFC Table 1A-1E'!$B$5)</f>
        <v>2146.3000000000002</v>
      </c>
      <c r="P14" s="119">
        <f t="shared" si="0"/>
        <v>6661.5581470000006</v>
      </c>
      <c r="Q14" s="150">
        <f>'FY 2025 IFC Table 1A-1E'!$B$33</f>
        <v>512.14</v>
      </c>
      <c r="R14" s="120">
        <f>IFERROR(VLOOKUP(C14,'FY25 IMPACT FILE IFC-OTHER TBLS'!$A$3:$BJ$52,48,FALSE),1)</f>
        <v>1.0056764320069</v>
      </c>
      <c r="S14" s="119">
        <f t="shared" si="5"/>
        <v>515.04712788801373</v>
      </c>
      <c r="T14" s="121">
        <f t="shared" si="6"/>
        <v>7176.6052748880147</v>
      </c>
      <c r="U14" s="367">
        <f>IFERROR(VLOOKUP($C14,'GME Add-On Posting'!$A$8:$Q$30,17,FALSE),0)</f>
        <v>0</v>
      </c>
      <c r="V14" s="125">
        <f>IFERROR(VLOOKUP(C14,'FY25 IMPACT FILE IFC-OTHER TBLS'!$A$3:$BJ$55,23,FALSE),0)</f>
        <v>0</v>
      </c>
      <c r="W14" s="125">
        <f>IFERROR(VLOOKUP(C14,'FY25 IMPACT FILE IFC-OTHER TBLS'!$A$3:$BJ$55,24,FALSE),0)</f>
        <v>0</v>
      </c>
      <c r="X14" s="119">
        <f t="shared" si="1"/>
        <v>0</v>
      </c>
      <c r="Y14" s="119">
        <f t="shared" si="2"/>
        <v>0</v>
      </c>
      <c r="Z14" s="126">
        <f t="shared" si="7"/>
        <v>0</v>
      </c>
      <c r="AA14" s="473">
        <f>VLOOKUP(C14,'FY25 IMPACT FILE IFC-OTHER TBLS'!A12:BN63,66,FALSE)</f>
        <v>1.0211687179</v>
      </c>
      <c r="AB14" s="127">
        <f t="shared" si="8"/>
        <v>141.01664518828952</v>
      </c>
      <c r="AC14" s="124">
        <f>VLOOKUP(C14,'FY25 IMPACT FILE IFC-OTHER TBLS'!A12:BN63,65,FALSE)</f>
        <v>1</v>
      </c>
      <c r="AD14" s="127">
        <f t="shared" si="9"/>
        <v>0</v>
      </c>
      <c r="AE14" s="10" t="str">
        <f>VLOOKUP(C14,'FY25 IMPACT FILE IFC-OTHER TBLS'!A12:BL63,64,FALSE)</f>
        <v>No</v>
      </c>
      <c r="AF14" s="130">
        <f t="shared" si="3"/>
        <v>0</v>
      </c>
      <c r="AG14" s="129">
        <f t="shared" si="4"/>
        <v>0</v>
      </c>
    </row>
    <row r="15" spans="1:34" x14ac:dyDescent="0.25">
      <c r="A15" s="10">
        <v>0</v>
      </c>
      <c r="B15" s="15">
        <v>60014</v>
      </c>
      <c r="C15" s="16" t="s">
        <v>145</v>
      </c>
      <c r="D15" s="96" t="s">
        <v>309</v>
      </c>
      <c r="E15" s="96" t="s">
        <v>310</v>
      </c>
      <c r="F15" s="152" t="str">
        <f>VLOOKUP($B15,Characteristics!$A$2:$K$86,11,FALSE)</f>
        <v xml:space="preserve"> </v>
      </c>
      <c r="G15" s="213">
        <f>VLOOKUP($B15,Characteristics!$A$2:$K$86,3,FALSE)</f>
        <v>0</v>
      </c>
      <c r="H15" s="96"/>
      <c r="I15" s="96"/>
      <c r="J15" s="15">
        <v>60014</v>
      </c>
      <c r="K15" s="120" t="str">
        <f>IFERROR(VLOOKUP(C15,'FY25 IMPACT FILE IFC-OTHER TBLS'!$A$3:$BN$52,63,FALSE),"NA")</f>
        <v>00</v>
      </c>
      <c r="L15" s="18"/>
      <c r="M15" s="119">
        <f>IF(AND(N15&lt;=1,K15=0),'FY 2025 IFC Table 1A-1E'!$C$4,'FY 2025 IFC Table 1A-1E'!$B$4)</f>
        <v>4478.09</v>
      </c>
      <c r="N15" s="120">
        <f>IFERROR(VLOOKUP($C15,'FY25 IMPACT FILE IFC-OTHER TBLS'!$A$3:$BJ$52,12,FALSE),1)</f>
        <v>1.0083</v>
      </c>
      <c r="O15" s="119">
        <f>IF(N15&lt;=1,'FY 2025 IFC Table 1A-1E'!$C$5,'FY 2025 IFC Table 1A-1E'!$B$5)</f>
        <v>2146.3000000000002</v>
      </c>
      <c r="P15" s="119">
        <f t="shared" si="0"/>
        <v>6661.5581470000006</v>
      </c>
      <c r="Q15" s="150">
        <f>'FY 2025 IFC Table 1A-1E'!$B$33</f>
        <v>512.14</v>
      </c>
      <c r="R15" s="120">
        <f>IFERROR(VLOOKUP(C15,'FY25 IMPACT FILE IFC-OTHER TBLS'!$A$3:$BJ$52,48,FALSE),1)</f>
        <v>1.0056764320069</v>
      </c>
      <c r="S15" s="119">
        <f t="shared" si="5"/>
        <v>515.04712788801373</v>
      </c>
      <c r="T15" s="121">
        <f t="shared" si="6"/>
        <v>7176.6052748880147</v>
      </c>
      <c r="U15" s="367">
        <f>IFERROR(VLOOKUP($C15,'GME Add-On Posting'!$A$8:$Q$30,17,FALSE),0)</f>
        <v>15.322648626138866</v>
      </c>
      <c r="V15" s="125">
        <f>IFERROR(VLOOKUP(C15,'FY25 IMPACT FILE IFC-OTHER TBLS'!$A$3:$BJ$55,23,FALSE),0)</f>
        <v>2.3269999999999999E-2</v>
      </c>
      <c r="W15" s="125">
        <f>IFERROR(VLOOKUP(C15,'FY25 IMPACT FILE IFC-OTHER TBLS'!$A$3:$BJ$55,24,FALSE),0)</f>
        <v>2.0119999999999999E-2</v>
      </c>
      <c r="X15" s="119">
        <f t="shared" si="1"/>
        <v>155.01445808069002</v>
      </c>
      <c r="Y15" s="119">
        <f t="shared" si="2"/>
        <v>10.362748213106835</v>
      </c>
      <c r="Z15" s="126">
        <f t="shared" si="7"/>
        <v>165.37720629379686</v>
      </c>
      <c r="AA15" s="473">
        <f>VLOOKUP(C15,'FY25 IMPACT FILE IFC-OTHER TBLS'!A13:BN64,66,FALSE)</f>
        <v>0.99730279450000003</v>
      </c>
      <c r="AB15" s="127">
        <f t="shared" si="8"/>
        <v>-17.967591272657984</v>
      </c>
      <c r="AC15" s="124">
        <f>VLOOKUP(C15,'FY25 IMPACT FILE IFC-OTHER TBLS'!A13:BN64,65,FALSE)</f>
        <v>0.999</v>
      </c>
      <c r="AD15" s="127">
        <f t="shared" si="9"/>
        <v>-6.6615581470000063</v>
      </c>
      <c r="AE15" s="10" t="str">
        <f>VLOOKUP(C15,'FY25 IMPACT FILE IFC-OTHER TBLS'!A13:BL64,64,FALSE)</f>
        <v>Yes</v>
      </c>
      <c r="AF15" s="130">
        <f t="shared" si="3"/>
        <v>-0.01</v>
      </c>
      <c r="AG15" s="129">
        <f t="shared" si="4"/>
        <v>-71.766052748880142</v>
      </c>
    </row>
    <row r="16" spans="1:34" x14ac:dyDescent="0.25">
      <c r="A16" s="10">
        <v>0</v>
      </c>
      <c r="B16" s="15">
        <v>60015</v>
      </c>
      <c r="C16" s="16" t="s">
        <v>146</v>
      </c>
      <c r="D16" s="96" t="s">
        <v>311</v>
      </c>
      <c r="E16" s="96" t="s">
        <v>292</v>
      </c>
      <c r="F16" s="152" t="str">
        <f>VLOOKUP($B16,Characteristics!$A$2:$K$86,11,FALSE)</f>
        <v xml:space="preserve"> </v>
      </c>
      <c r="G16" s="213">
        <f>VLOOKUP($B16,Characteristics!$A$2:$K$86,3,FALSE)</f>
        <v>0</v>
      </c>
      <c r="H16" s="96"/>
      <c r="I16" s="96"/>
      <c r="J16" s="15">
        <v>60015</v>
      </c>
      <c r="K16" s="120" t="str">
        <f>IFERROR(VLOOKUP(C16,'FY25 IMPACT FILE IFC-OTHER TBLS'!$A$3:$BN$52,63,FALSE),"NA")</f>
        <v>00</v>
      </c>
      <c r="L16" s="18"/>
      <c r="M16" s="119">
        <f>IF(AND(N16&lt;=1,K16=0),'FY 2025 IFC Table 1A-1E'!$C$4,'FY 2025 IFC Table 1A-1E'!$B$4)</f>
        <v>4478.09</v>
      </c>
      <c r="N16" s="120">
        <f>IFERROR(VLOOKUP($C16,'FY25 IMPACT FILE IFC-OTHER TBLS'!$A$3:$BJ$52,12,FALSE),1)</f>
        <v>1.0083</v>
      </c>
      <c r="O16" s="119">
        <f>IF(N16&lt;=1,'FY 2025 IFC Table 1A-1E'!$C$5,'FY 2025 IFC Table 1A-1E'!$B$5)</f>
        <v>2146.3000000000002</v>
      </c>
      <c r="P16" s="119">
        <f t="shared" si="0"/>
        <v>6661.5581470000006</v>
      </c>
      <c r="Q16" s="150">
        <f>'FY 2025 IFC Table 1A-1E'!$B$33</f>
        <v>512.14</v>
      </c>
      <c r="R16" s="120">
        <f>IFERROR(VLOOKUP(C16,'FY25 IMPACT FILE IFC-OTHER TBLS'!$A$3:$BJ$52,48,FALSE),1)</f>
        <v>1.0056764320069</v>
      </c>
      <c r="S16" s="119">
        <f t="shared" si="5"/>
        <v>515.04712788801373</v>
      </c>
      <c r="T16" s="121">
        <f t="shared" si="6"/>
        <v>7176.6052748880147</v>
      </c>
      <c r="U16" s="367">
        <f>IFERROR(VLOOKUP($C16,'GME Add-On Posting'!$A$8:$Q$30,17,FALSE),0)</f>
        <v>6.4983538834059197E-3</v>
      </c>
      <c r="V16" s="125">
        <f>IFERROR(VLOOKUP(C16,'FY25 IMPACT FILE IFC-OTHER TBLS'!$A$3:$BJ$55,23,FALSE),0)</f>
        <v>2.2950000000000002E-2</v>
      </c>
      <c r="W16" s="125">
        <f>IFERROR(VLOOKUP(C16,'FY25 IMPACT FILE IFC-OTHER TBLS'!$A$3:$BJ$55,24,FALSE),0)</f>
        <v>1.5180000000000001E-2</v>
      </c>
      <c r="X16" s="119">
        <f t="shared" si="1"/>
        <v>152.88275947365003</v>
      </c>
      <c r="Y16" s="119">
        <f t="shared" si="2"/>
        <v>7.8184154013400491</v>
      </c>
      <c r="Z16" s="126">
        <f t="shared" si="7"/>
        <v>160.70117487499007</v>
      </c>
      <c r="AA16" s="473">
        <f>VLOOKUP(C16,'FY25 IMPACT FILE IFC-OTHER TBLS'!A14:BN65,66,FALSE)</f>
        <v>1.0032692753000001</v>
      </c>
      <c r="AB16" s="127">
        <f t="shared" si="8"/>
        <v>21.778467509501514</v>
      </c>
      <c r="AC16" s="124">
        <f>VLOOKUP(C16,'FY25 IMPACT FILE IFC-OTHER TBLS'!A14:BN65,65,FALSE)</f>
        <v>0.99990000000000001</v>
      </c>
      <c r="AD16" s="127">
        <f t="shared" si="9"/>
        <v>-0.66615581469992668</v>
      </c>
      <c r="AE16" s="10" t="str">
        <f>VLOOKUP(C16,'FY25 IMPACT FILE IFC-OTHER TBLS'!A14:BL65,64,FALSE)</f>
        <v>No</v>
      </c>
      <c r="AF16" s="130">
        <f t="shared" si="3"/>
        <v>0</v>
      </c>
      <c r="AG16" s="129">
        <f t="shared" si="4"/>
        <v>0</v>
      </c>
    </row>
    <row r="17" spans="1:33" s="6" customFormat="1" x14ac:dyDescent="0.25">
      <c r="A17" s="48">
        <v>0</v>
      </c>
      <c r="B17" s="49">
        <v>60020</v>
      </c>
      <c r="C17" s="50" t="s">
        <v>147</v>
      </c>
      <c r="D17" s="111" t="s">
        <v>312</v>
      </c>
      <c r="E17" s="96" t="s">
        <v>304</v>
      </c>
      <c r="F17" s="229" t="str">
        <f>VLOOKUP($B17,Characteristics!$A$2:$K$86,11,FALSE)</f>
        <v xml:space="preserve"> </v>
      </c>
      <c r="G17" s="230">
        <f>VLOOKUP($B17,Characteristics!$A$2:$K$86,3,FALSE)</f>
        <v>0</v>
      </c>
      <c r="H17" s="111"/>
      <c r="I17" s="111"/>
      <c r="J17" s="49">
        <v>60020</v>
      </c>
      <c r="K17" s="231" t="str">
        <f>IFERROR(VLOOKUP(C17,'FY25 IMPACT FILE IFC-OTHER TBLS'!$A$3:$BN$52,63,FALSE),"NA")</f>
        <v>00</v>
      </c>
      <c r="L17" s="51"/>
      <c r="M17" s="122">
        <f>IF(AND(N17&lt;=1,K17=0),'FY 2025 IFC Table 1A-1E'!$C$4,'FY 2025 IFC Table 1A-1E'!$B$4)</f>
        <v>4478.09</v>
      </c>
      <c r="N17" s="231">
        <f>IFERROR(VLOOKUP($C17,'FY25 IMPACT FILE IFC-OTHER TBLS'!$A$3:$BJ$52,12,FALSE),1)</f>
        <v>1.0083</v>
      </c>
      <c r="O17" s="122">
        <f>IF(N17&lt;=1,'FY 2025 IFC Table 1A-1E'!$C$5,'FY 2025 IFC Table 1A-1E'!$B$5)</f>
        <v>2146.3000000000002</v>
      </c>
      <c r="P17" s="122">
        <f t="shared" si="0"/>
        <v>6661.5581470000006</v>
      </c>
      <c r="Q17" s="232">
        <f>'FY 2025 IFC Table 1A-1E'!$B$33</f>
        <v>512.14</v>
      </c>
      <c r="R17" s="231">
        <f>IFERROR(VLOOKUP(C17,'FY25 IMPACT FILE IFC-OTHER TBLS'!$A$3:$BJ$52,48,FALSE),1)</f>
        <v>1.0056764320069</v>
      </c>
      <c r="S17" s="122">
        <f t="shared" si="5"/>
        <v>515.04712788801373</v>
      </c>
      <c r="T17" s="123">
        <f t="shared" si="6"/>
        <v>7176.6052748880147</v>
      </c>
      <c r="U17" s="367">
        <f>IFERROR(VLOOKUP($C17,'GME Add-On Posting'!$A$8:$Q$30,17,FALSE),0)</f>
        <v>60.42002277420778</v>
      </c>
      <c r="V17" s="233">
        <f>IFERROR(VLOOKUP(C17,'FY25 IMPACT FILE IFC-OTHER TBLS'!$A$3:$BJ$55,23,FALSE),0)</f>
        <v>0.11157</v>
      </c>
      <c r="W17" s="233">
        <f>IFERROR(VLOOKUP(C17,'FY25 IMPACT FILE IFC-OTHER TBLS'!$A$3:$BJ$55,24,FALSE),0)</f>
        <v>8.3229999999999998E-2</v>
      </c>
      <c r="X17" s="122">
        <f t="shared" si="1"/>
        <v>743.23004246079006</v>
      </c>
      <c r="Y17" s="122">
        <f t="shared" si="2"/>
        <v>42.867372454119383</v>
      </c>
      <c r="Z17" s="126">
        <f t="shared" si="7"/>
        <v>786.09741491490945</v>
      </c>
      <c r="AA17" s="474">
        <f>VLOOKUP(C17,'FY25 IMPACT FILE IFC-OTHER TBLS'!A15:BN66,66,FALSE)</f>
        <v>0.99581117429999999</v>
      </c>
      <c r="AB17" s="129">
        <f t="shared" si="8"/>
        <v>-27.904105968198046</v>
      </c>
      <c r="AC17" s="234">
        <f>VLOOKUP(C17,'FY25 IMPACT FILE IFC-OTHER TBLS'!A15:BN66,65,FALSE)</f>
        <v>0.99580000000000002</v>
      </c>
      <c r="AD17" s="129">
        <f t="shared" si="9"/>
        <v>-27.978544217399879</v>
      </c>
      <c r="AE17" s="48" t="str">
        <f>VLOOKUP(C17,'FY25 IMPACT FILE IFC-OTHER TBLS'!A15:BL66,64,FALSE)</f>
        <v>Yes</v>
      </c>
      <c r="AF17" s="131">
        <f t="shared" si="3"/>
        <v>-0.01</v>
      </c>
      <c r="AG17" s="129">
        <f t="shared" si="4"/>
        <v>-71.766052748880142</v>
      </c>
    </row>
    <row r="18" spans="1:33" x14ac:dyDescent="0.25">
      <c r="A18" s="10">
        <v>0</v>
      </c>
      <c r="B18" s="15">
        <v>60022</v>
      </c>
      <c r="C18" s="16" t="s">
        <v>148</v>
      </c>
      <c r="D18" s="96" t="s">
        <v>313</v>
      </c>
      <c r="E18" s="96" t="s">
        <v>304</v>
      </c>
      <c r="F18" s="152" t="str">
        <f>VLOOKUP($B18,Characteristics!$A$2:$K$86,11,FALSE)</f>
        <v xml:space="preserve"> </v>
      </c>
      <c r="G18" s="213">
        <f>VLOOKUP($B18,Characteristics!$A$2:$K$86,3,FALSE)</f>
        <v>0</v>
      </c>
      <c r="H18" s="96"/>
      <c r="I18" s="96"/>
      <c r="J18" s="15">
        <v>60022</v>
      </c>
      <c r="K18" s="120" t="str">
        <f>IFERROR(VLOOKUP(C18,'FY25 IMPACT FILE IFC-OTHER TBLS'!$A$3:$BN$52,63,FALSE),"NA")</f>
        <v>00</v>
      </c>
      <c r="L18" s="18"/>
      <c r="M18" s="119">
        <f>IF(AND(N18&lt;=1,K18=0),'FY 2025 IFC Table 1A-1E'!$C$4,'FY 2025 IFC Table 1A-1E'!$B$4)</f>
        <v>4478.09</v>
      </c>
      <c r="N18" s="120">
        <f>IFERROR(VLOOKUP($C18,'FY25 IMPACT FILE IFC-OTHER TBLS'!$A$3:$BJ$52,12,FALSE),1)</f>
        <v>1.0083</v>
      </c>
      <c r="O18" s="119">
        <f>IF(N18&lt;=1,'FY 2025 IFC Table 1A-1E'!$C$5,'FY 2025 IFC Table 1A-1E'!$B$5)</f>
        <v>2146.3000000000002</v>
      </c>
      <c r="P18" s="119">
        <f t="shared" si="0"/>
        <v>6661.5581470000006</v>
      </c>
      <c r="Q18" s="150">
        <f>'FY 2025 IFC Table 1A-1E'!$B$33</f>
        <v>512.14</v>
      </c>
      <c r="R18" s="120">
        <f>IFERROR(VLOOKUP(C18,'FY25 IMPACT FILE IFC-OTHER TBLS'!$A$3:$BJ$52,48,FALSE),1)</f>
        <v>1.0056764320069</v>
      </c>
      <c r="S18" s="119">
        <f t="shared" si="5"/>
        <v>515.04712788801373</v>
      </c>
      <c r="T18" s="121">
        <f t="shared" si="6"/>
        <v>7176.6052748880147</v>
      </c>
      <c r="U18" s="367">
        <f>IFERROR(VLOOKUP($C18,'GME Add-On Posting'!$A$8:$Q$30,17,FALSE),0)</f>
        <v>2.255655610664657</v>
      </c>
      <c r="V18" s="125">
        <f>IFERROR(VLOOKUP(C18,'FY25 IMPACT FILE IFC-OTHER TBLS'!$A$3:$BJ$55,23,FALSE),0)</f>
        <v>3.1099999999999999E-3</v>
      </c>
      <c r="W18" s="125">
        <f>IFERROR(VLOOKUP(C18,'FY25 IMPACT FILE IFC-OTHER TBLS'!$A$3:$BJ$55,24,FALSE),0)</f>
        <v>1.5499999999999999E-3</v>
      </c>
      <c r="X18" s="119">
        <f t="shared" si="1"/>
        <v>20.717445837170001</v>
      </c>
      <c r="Y18" s="119">
        <f t="shared" si="2"/>
        <v>0.79832304822642131</v>
      </c>
      <c r="Z18" s="126">
        <f t="shared" si="7"/>
        <v>21.515768885396422</v>
      </c>
      <c r="AA18" s="473">
        <f>VLOOKUP(C18,'FY25 IMPACT FILE IFC-OTHER TBLS'!A16:BN67,66,FALSE)</f>
        <v>0.99782486159999995</v>
      </c>
      <c r="AB18" s="127">
        <f t="shared" si="8"/>
        <v>-14.489810929372906</v>
      </c>
      <c r="AC18" s="124">
        <f>VLOOKUP(C18,'FY25 IMPACT FILE IFC-OTHER TBLS'!A16:BN67,65,FALSE)</f>
        <v>1</v>
      </c>
      <c r="AD18" s="127">
        <f t="shared" si="9"/>
        <v>0</v>
      </c>
      <c r="AE18" s="10" t="str">
        <f>VLOOKUP(C18,'FY25 IMPACT FILE IFC-OTHER TBLS'!A16:BL67,64,FALSE)</f>
        <v>No</v>
      </c>
      <c r="AF18" s="130">
        <f t="shared" si="3"/>
        <v>0</v>
      </c>
      <c r="AG18" s="129">
        <f t="shared" si="4"/>
        <v>0</v>
      </c>
    </row>
    <row r="19" spans="1:33" x14ac:dyDescent="0.25">
      <c r="A19" s="10">
        <v>0</v>
      </c>
      <c r="B19" s="15">
        <v>60023</v>
      </c>
      <c r="C19" s="16" t="s">
        <v>149</v>
      </c>
      <c r="D19" s="96" t="s">
        <v>314</v>
      </c>
      <c r="E19" s="96" t="s">
        <v>295</v>
      </c>
      <c r="F19" s="152" t="str">
        <f>VLOOKUP($B19,Characteristics!$A$2:$K$86,11,FALSE)</f>
        <v>SCH</v>
      </c>
      <c r="G19" s="213">
        <f>VLOOKUP($B19,Characteristics!$A$2:$K$86,3,FALSE)</f>
        <v>0</v>
      </c>
      <c r="H19" s="96"/>
      <c r="I19" s="96"/>
      <c r="J19" s="15">
        <v>60023</v>
      </c>
      <c r="K19" s="120" t="str">
        <f>IFERROR(VLOOKUP(C19,'FY25 IMPACT FILE IFC-OTHER TBLS'!$A$3:$BN$52,63,FALSE),"NA")</f>
        <v>00</v>
      </c>
      <c r="L19" s="18"/>
      <c r="M19" s="119">
        <f>IF(AND(N19&lt;=1,K19=0),'FY 2025 IFC Table 1A-1E'!$C$4,'FY 2025 IFC Table 1A-1E'!$B$4)</f>
        <v>4478.09</v>
      </c>
      <c r="N19" s="120">
        <f>IFERROR(VLOOKUP($C19,'FY25 IMPACT FILE IFC-OTHER TBLS'!$A$3:$BJ$52,12,FALSE),1)</f>
        <v>1.0083</v>
      </c>
      <c r="O19" s="119">
        <f>IF(N19&lt;=1,'FY 2025 IFC Table 1A-1E'!$C$5,'FY 2025 IFC Table 1A-1E'!$B$5)</f>
        <v>2146.3000000000002</v>
      </c>
      <c r="P19" s="119">
        <f t="shared" si="0"/>
        <v>6661.5581470000006</v>
      </c>
      <c r="Q19" s="150">
        <f>'FY 2025 IFC Table 1A-1E'!$B$33</f>
        <v>512.14</v>
      </c>
      <c r="R19" s="120">
        <f>IFERROR(VLOOKUP(C19,'FY25 IMPACT FILE IFC-OTHER TBLS'!$A$3:$BJ$52,48,FALSE),1)</f>
        <v>1.0056764320069</v>
      </c>
      <c r="S19" s="119">
        <f t="shared" si="5"/>
        <v>515.04712788801373</v>
      </c>
      <c r="T19" s="121">
        <f t="shared" si="6"/>
        <v>7176.6052748880147</v>
      </c>
      <c r="U19" s="367">
        <f>IFERROR(VLOOKUP($C19,'GME Add-On Posting'!$A$8:$Q$30,17,FALSE),0)</f>
        <v>74.495594894914774</v>
      </c>
      <c r="V19" s="125">
        <f>IFERROR(VLOOKUP(C19,'FY25 IMPACT FILE IFC-OTHER TBLS'!$A$3:$BJ$55,23,FALSE),0)</f>
        <v>4.7899999999999998E-2</v>
      </c>
      <c r="W19" s="125">
        <f>IFERROR(VLOOKUP(C19,'FY25 IMPACT FILE IFC-OTHER TBLS'!$A$3:$BJ$55,24,FALSE),0)</f>
        <v>4.5269999999999998E-2</v>
      </c>
      <c r="X19" s="119">
        <f t="shared" si="1"/>
        <v>319.08863524130004</v>
      </c>
      <c r="Y19" s="119">
        <f t="shared" si="2"/>
        <v>23.31618347949038</v>
      </c>
      <c r="Z19" s="126">
        <f t="shared" si="7"/>
        <v>342.40481872079044</v>
      </c>
      <c r="AA19" s="473">
        <f>VLOOKUP(C19,'FY25 IMPACT FILE IFC-OTHER TBLS'!A17:BN68,66,FALSE)</f>
        <v>1.0015539121000001</v>
      </c>
      <c r="AB19" s="127">
        <f t="shared" si="8"/>
        <v>10.351475809477613</v>
      </c>
      <c r="AC19" s="124">
        <f>VLOOKUP(C19,'FY25 IMPACT FILE IFC-OTHER TBLS'!A17:BN68,65,FALSE)</f>
        <v>1</v>
      </c>
      <c r="AD19" s="127">
        <f t="shared" si="9"/>
        <v>0</v>
      </c>
      <c r="AE19" s="10" t="str">
        <f>VLOOKUP(C19,'FY25 IMPACT FILE IFC-OTHER TBLS'!A17:BL68,64,FALSE)</f>
        <v>No</v>
      </c>
      <c r="AF19" s="130">
        <f t="shared" si="3"/>
        <v>0</v>
      </c>
      <c r="AG19" s="129">
        <f t="shared" si="4"/>
        <v>0</v>
      </c>
    </row>
    <row r="20" spans="1:33" x14ac:dyDescent="0.25">
      <c r="A20" s="10">
        <v>0</v>
      </c>
      <c r="B20" s="15">
        <v>60024</v>
      </c>
      <c r="C20" s="16" t="s">
        <v>150</v>
      </c>
      <c r="D20" s="96" t="s">
        <v>315</v>
      </c>
      <c r="E20" s="96" t="s">
        <v>304</v>
      </c>
      <c r="F20" s="152" t="str">
        <f>VLOOKUP($B20,Characteristics!$A$2:$K$86,11,FALSE)</f>
        <v xml:space="preserve"> </v>
      </c>
      <c r="G20" s="213">
        <f>VLOOKUP($B20,Characteristics!$A$2:$K$86,3,FALSE)</f>
        <v>0</v>
      </c>
      <c r="H20" s="96"/>
      <c r="I20" s="96"/>
      <c r="J20" s="15">
        <v>60024</v>
      </c>
      <c r="K20" s="120" t="str">
        <f>IFERROR(VLOOKUP(C20,'FY25 IMPACT FILE IFC-OTHER TBLS'!$A$3:$BN$52,63,FALSE),"NA")</f>
        <v>00</v>
      </c>
      <c r="L20" s="18"/>
      <c r="M20" s="119">
        <f>IF(AND(N20&lt;=1,K20=0),'FY 2025 IFC Table 1A-1E'!$C$4,'FY 2025 IFC Table 1A-1E'!$B$4)</f>
        <v>4478.09</v>
      </c>
      <c r="N20" s="120">
        <f>IFERROR(VLOOKUP($C20,'FY25 IMPACT FILE IFC-OTHER TBLS'!$A$3:$BJ$52,12,FALSE),1)</f>
        <v>1.0083</v>
      </c>
      <c r="O20" s="119">
        <f>IF(N20&lt;=1,'FY 2025 IFC Table 1A-1E'!$C$5,'FY 2025 IFC Table 1A-1E'!$B$5)</f>
        <v>2146.3000000000002</v>
      </c>
      <c r="P20" s="119">
        <f t="shared" si="0"/>
        <v>6661.5581470000006</v>
      </c>
      <c r="Q20" s="150">
        <f>'FY 2025 IFC Table 1A-1E'!$B$33</f>
        <v>512.14</v>
      </c>
      <c r="R20" s="120">
        <f>IFERROR(VLOOKUP(C20,'FY25 IMPACT FILE IFC-OTHER TBLS'!$A$3:$BJ$52,48,FALSE),1)</f>
        <v>1.0056764320069</v>
      </c>
      <c r="S20" s="119">
        <f t="shared" si="5"/>
        <v>515.04712788801373</v>
      </c>
      <c r="T20" s="121">
        <f t="shared" si="6"/>
        <v>7176.6052748880147</v>
      </c>
      <c r="U20" s="368">
        <v>0</v>
      </c>
      <c r="V20" s="503">
        <f>IFERROR(VLOOKUP(C20,'FY25 IMPACT FILE IFC-OTHER TBLS'!$A$3:$BJ$55,23,FALSE),0)</f>
        <v>0.23066</v>
      </c>
      <c r="W20" s="503">
        <f>IFERROR(VLOOKUP(C20,'FY25 IMPACT FILE IFC-OTHER TBLS'!$A$3:$BJ$55,24,FALSE),0)</f>
        <v>0.16761000000000001</v>
      </c>
      <c r="X20" s="119">
        <f t="shared" si="1"/>
        <v>1536.5550021870201</v>
      </c>
      <c r="Y20" s="119">
        <f t="shared" si="2"/>
        <v>86.327049105309982</v>
      </c>
      <c r="Z20" s="126">
        <f t="shared" si="7"/>
        <v>1622.8820512923301</v>
      </c>
      <c r="AA20" s="473">
        <f>VLOOKUP(C20,'FY25 IMPACT FILE IFC-OTHER TBLS'!A18:BN69,66,FALSE)</f>
        <v>1.0000622919</v>
      </c>
      <c r="AB20" s="127">
        <f t="shared" si="8"/>
        <v>0.41496111393681323</v>
      </c>
      <c r="AC20" s="124">
        <f>VLOOKUP(C20,'FY25 IMPACT FILE IFC-OTHER TBLS'!A18:BN69,65,FALSE)</f>
        <v>1</v>
      </c>
      <c r="AD20" s="127">
        <f t="shared" si="9"/>
        <v>0</v>
      </c>
      <c r="AE20" s="10" t="str">
        <f>VLOOKUP(C20,'FY25 IMPACT FILE IFC-OTHER TBLS'!A18:BL69,64,FALSE)</f>
        <v>No</v>
      </c>
      <c r="AF20" s="130">
        <f t="shared" si="3"/>
        <v>0</v>
      </c>
      <c r="AG20" s="129">
        <f t="shared" si="4"/>
        <v>0</v>
      </c>
    </row>
    <row r="21" spans="1:33" x14ac:dyDescent="0.25">
      <c r="A21" s="10">
        <v>0</v>
      </c>
      <c r="B21" s="15">
        <v>60027</v>
      </c>
      <c r="C21" s="16" t="s">
        <v>316</v>
      </c>
      <c r="D21" s="96" t="s">
        <v>317</v>
      </c>
      <c r="E21" s="96" t="s">
        <v>240</v>
      </c>
      <c r="F21" s="152" t="str">
        <f>VLOOKUP($B21,Characteristics!$A$2:$K$86,11,FALSE)</f>
        <v xml:space="preserve"> </v>
      </c>
      <c r="G21" s="213">
        <f>VLOOKUP($B21,Characteristics!$A$2:$K$86,3,FALSE)</f>
        <v>0</v>
      </c>
      <c r="H21" s="96"/>
      <c r="I21" s="96"/>
      <c r="J21" s="15">
        <v>60027</v>
      </c>
      <c r="K21" s="120" t="str">
        <f>IFERROR(VLOOKUP(C21,'FY25 IMPACT FILE IFC-OTHER TBLS'!$A$3:$BN$52,63,FALSE),"NA")</f>
        <v>00</v>
      </c>
      <c r="L21" s="51"/>
      <c r="M21" s="119">
        <f>IF(AND(N21&lt;=1,K21=0),'FY 2025 IFC Table 1A-1E'!$C$4,'FY 2025 IFC Table 1A-1E'!$B$4)</f>
        <v>4478.09</v>
      </c>
      <c r="N21" s="120">
        <f>IFERROR(VLOOKUP($C21,'FY25 IMPACT FILE IFC-OTHER TBLS'!$A$3:$BJ$52,12,FALSE),1)</f>
        <v>1.0083</v>
      </c>
      <c r="O21" s="119">
        <f>IF(N21&lt;=1,'FY 2025 IFC Table 1A-1E'!$C$5,'FY 2025 IFC Table 1A-1E'!$B$5)</f>
        <v>2146.3000000000002</v>
      </c>
      <c r="P21" s="119">
        <f t="shared" si="0"/>
        <v>6661.5581470000006</v>
      </c>
      <c r="Q21" s="150">
        <f>'FY 2025 IFC Table 1A-1E'!$B$33</f>
        <v>512.14</v>
      </c>
      <c r="R21" s="120">
        <f>IFERROR(VLOOKUP(C21,'FY25 IMPACT FILE IFC-OTHER TBLS'!$A$3:$BJ$52,48,FALSE),1)</f>
        <v>1.0056764320069</v>
      </c>
      <c r="S21" s="119">
        <f t="shared" si="5"/>
        <v>515.04712788801373</v>
      </c>
      <c r="T21" s="121">
        <f t="shared" si="6"/>
        <v>7176.6052748880147</v>
      </c>
      <c r="U21" s="367">
        <f>IFERROR(VLOOKUP($C21,'GME Add-On Posting'!$A$8:$Q$30,17,FALSE),0)</f>
        <v>0</v>
      </c>
      <c r="V21" s="125">
        <f>IFERROR(VLOOKUP(C21,'FY25 IMPACT FILE IFC-OTHER TBLS'!$A$3:$BJ$55,23,FALSE),0)</f>
        <v>0</v>
      </c>
      <c r="W21" s="125">
        <f>IFERROR(VLOOKUP(C21,'FY25 IMPACT FILE IFC-OTHER TBLS'!$A$3:$BJ$55,24,FALSE),0)</f>
        <v>0</v>
      </c>
      <c r="X21" s="119">
        <f t="shared" si="1"/>
        <v>0</v>
      </c>
      <c r="Y21" s="119">
        <f t="shared" si="2"/>
        <v>0</v>
      </c>
      <c r="Z21" s="126">
        <f t="shared" si="7"/>
        <v>0</v>
      </c>
      <c r="AA21" s="473">
        <f>VLOOKUP(C21,'FY25 IMPACT FILE IFC-OTHER TBLS'!A19:BN70,66,FALSE)</f>
        <v>1.0054321246</v>
      </c>
      <c r="AB21" s="127">
        <f t="shared" si="8"/>
        <v>36.186413884648964</v>
      </c>
      <c r="AC21" s="124">
        <f>VLOOKUP(C21,'FY25 IMPACT FILE IFC-OTHER TBLS'!A19:BN70,65,FALSE)</f>
        <v>0.99050000000000005</v>
      </c>
      <c r="AD21" s="127">
        <f t="shared" si="9"/>
        <v>-63.284802396499693</v>
      </c>
      <c r="AE21" s="10" t="str">
        <f>VLOOKUP(C21,'FY25 IMPACT FILE IFC-OTHER TBLS'!A19:BL70,64,FALSE)</f>
        <v>Yes</v>
      </c>
      <c r="AF21" s="130">
        <f t="shared" si="3"/>
        <v>-0.01</v>
      </c>
      <c r="AG21" s="129">
        <f t="shared" si="4"/>
        <v>-71.766052748880142</v>
      </c>
    </row>
    <row r="22" spans="1:33" x14ac:dyDescent="0.25">
      <c r="A22" s="10">
        <v>0</v>
      </c>
      <c r="B22" s="15">
        <v>60028</v>
      </c>
      <c r="C22" s="16" t="s">
        <v>151</v>
      </c>
      <c r="D22" s="96" t="s">
        <v>318</v>
      </c>
      <c r="E22" s="96" t="s">
        <v>295</v>
      </c>
      <c r="F22" s="152" t="str">
        <f>VLOOKUP($B22,Characteristics!$A$2:$K$86,11,FALSE)</f>
        <v xml:space="preserve"> </v>
      </c>
      <c r="G22" s="213">
        <f>VLOOKUP($B22,Characteristics!$A$2:$K$86,3,FALSE)</f>
        <v>0</v>
      </c>
      <c r="H22" s="96"/>
      <c r="I22" s="96"/>
      <c r="J22" s="15">
        <v>60028</v>
      </c>
      <c r="K22" s="120" t="str">
        <f>IFERROR(VLOOKUP(C22,'FY25 IMPACT FILE IFC-OTHER TBLS'!$A$3:$BN$52,63,FALSE),"NA")</f>
        <v>00</v>
      </c>
      <c r="L22" s="18"/>
      <c r="M22" s="119">
        <f>IF(AND(N22&lt;=1,K22=0),'FY 2025 IFC Table 1A-1E'!$C$4,'FY 2025 IFC Table 1A-1E'!$B$4)</f>
        <v>4478.09</v>
      </c>
      <c r="N22" s="120">
        <f>IFERROR(VLOOKUP($C22,'FY25 IMPACT FILE IFC-OTHER TBLS'!$A$3:$BJ$52,12,FALSE),1)</f>
        <v>1.0083</v>
      </c>
      <c r="O22" s="119">
        <f>IF(N22&lt;=1,'FY 2025 IFC Table 1A-1E'!$C$5,'FY 2025 IFC Table 1A-1E'!$B$5)</f>
        <v>2146.3000000000002</v>
      </c>
      <c r="P22" s="119">
        <f t="shared" si="0"/>
        <v>6661.5581470000006</v>
      </c>
      <c r="Q22" s="150">
        <f>'FY 2025 IFC Table 1A-1E'!$B$33</f>
        <v>512.14</v>
      </c>
      <c r="R22" s="120">
        <f>IFERROR(VLOOKUP(C22,'FY25 IMPACT FILE IFC-OTHER TBLS'!$A$3:$BJ$52,48,FALSE),1)</f>
        <v>1.0056764320069</v>
      </c>
      <c r="S22" s="119">
        <f t="shared" si="5"/>
        <v>515.04712788801373</v>
      </c>
      <c r="T22" s="121">
        <f t="shared" si="6"/>
        <v>7176.6052748880147</v>
      </c>
      <c r="U22" s="367">
        <f>IFERROR(VLOOKUP($C22,'GME Add-On Posting'!$A$8:$Q$30,17,FALSE),0)</f>
        <v>103.62433720132003</v>
      </c>
      <c r="V22" s="125">
        <f>IFERROR(VLOOKUP(C22,'FY25 IMPACT FILE IFC-OTHER TBLS'!$A$3:$BJ$55,23,FALSE),0)</f>
        <v>0.10223</v>
      </c>
      <c r="W22" s="125">
        <f>IFERROR(VLOOKUP(C22,'FY25 IMPACT FILE IFC-OTHER TBLS'!$A$3:$BJ$55,24,FALSE),0)</f>
        <v>0.11229</v>
      </c>
      <c r="X22" s="119">
        <f t="shared" si="1"/>
        <v>681.01108936781009</v>
      </c>
      <c r="Y22" s="119">
        <f t="shared" si="2"/>
        <v>57.834641990545066</v>
      </c>
      <c r="Z22" s="126">
        <f t="shared" si="7"/>
        <v>738.84573135835512</v>
      </c>
      <c r="AA22" s="473">
        <f>VLOOKUP(C22,'FY25 IMPACT FILE IFC-OTHER TBLS'!A20:BN71,66,FALSE)</f>
        <v>1.0124427397</v>
      </c>
      <c r="AB22" s="127">
        <f t="shared" si="8"/>
        <v>82.888034019535226</v>
      </c>
      <c r="AC22" s="124">
        <f>VLOOKUP(C22,'FY25 IMPACT FILE IFC-OTHER TBLS'!A20:BN71,65,FALSE)</f>
        <v>0.99970000000000003</v>
      </c>
      <c r="AD22" s="127">
        <f t="shared" si="9"/>
        <v>-1.9984674440997801</v>
      </c>
      <c r="AE22" s="10" t="str">
        <f>VLOOKUP(C22,'FY25 IMPACT FILE IFC-OTHER TBLS'!A20:BL71,64,FALSE)</f>
        <v>No</v>
      </c>
      <c r="AF22" s="130">
        <f t="shared" si="3"/>
        <v>0</v>
      </c>
      <c r="AG22" s="129">
        <f t="shared" si="4"/>
        <v>0</v>
      </c>
    </row>
    <row r="23" spans="1:33" x14ac:dyDescent="0.25">
      <c r="A23" s="10">
        <v>0</v>
      </c>
      <c r="B23" s="15">
        <v>60030</v>
      </c>
      <c r="C23" s="16" t="s">
        <v>319</v>
      </c>
      <c r="D23" s="96" t="s">
        <v>320</v>
      </c>
      <c r="E23" s="96" t="s">
        <v>289</v>
      </c>
      <c r="F23" s="152" t="str">
        <f>VLOOKUP($B23,Characteristics!$A$2:$K$86,11,FALSE)</f>
        <v xml:space="preserve"> </v>
      </c>
      <c r="G23" s="213">
        <f>VLOOKUP($B23,Characteristics!$A$2:$K$86,3,FALSE)</f>
        <v>0</v>
      </c>
      <c r="H23" s="96"/>
      <c r="I23" s="96"/>
      <c r="J23" s="15">
        <v>60030</v>
      </c>
      <c r="K23" s="120" t="str">
        <f>IFERROR(VLOOKUP(C23,'FY25 IMPACT FILE IFC-OTHER TBLS'!$A$3:$BN$52,63,FALSE),"NA")</f>
        <v>00</v>
      </c>
      <c r="L23" s="18"/>
      <c r="M23" s="119">
        <f>IF(AND(N23&lt;=1,K23=0),'FY 2025 IFC Table 1A-1E'!$C$4,'FY 2025 IFC Table 1A-1E'!$B$4)</f>
        <v>4478.09</v>
      </c>
      <c r="N23" s="120">
        <f>IFERROR(VLOOKUP($C23,'FY25 IMPACT FILE IFC-OTHER TBLS'!$A$3:$BJ$52,12,FALSE),1)</f>
        <v>1.0083</v>
      </c>
      <c r="O23" s="119">
        <f>IF(N23&lt;=1,'FY 2025 IFC Table 1A-1E'!$C$5,'FY 2025 IFC Table 1A-1E'!$B$5)</f>
        <v>2146.3000000000002</v>
      </c>
      <c r="P23" s="119">
        <f t="shared" si="0"/>
        <v>6661.5581470000006</v>
      </c>
      <c r="Q23" s="150">
        <f>'FY 2025 IFC Table 1A-1E'!$B$33</f>
        <v>512.14</v>
      </c>
      <c r="R23" s="120">
        <f>IFERROR(VLOOKUP(C23,'FY25 IMPACT FILE IFC-OTHER TBLS'!$A$3:$BJ$52,48,FALSE),1)</f>
        <v>1.0056764320069</v>
      </c>
      <c r="S23" s="119">
        <f t="shared" si="5"/>
        <v>515.04712788801373</v>
      </c>
      <c r="T23" s="121">
        <f t="shared" si="6"/>
        <v>7176.6052748880147</v>
      </c>
      <c r="U23" s="367">
        <f>IFERROR(VLOOKUP($C23,'GME Add-On Posting'!$A$8:$Q$30,17,FALSE),0)</f>
        <v>0</v>
      </c>
      <c r="V23" s="125">
        <f>IFERROR(VLOOKUP(C23,'FY25 IMPACT FILE IFC-OTHER TBLS'!$A$3:$BJ$55,23,FALSE),0)</f>
        <v>0</v>
      </c>
      <c r="W23" s="125">
        <f>IFERROR(VLOOKUP(C23,'FY25 IMPACT FILE IFC-OTHER TBLS'!$A$3:$BJ$55,24,FALSE),0)</f>
        <v>0</v>
      </c>
      <c r="X23" s="119">
        <f t="shared" si="1"/>
        <v>0</v>
      </c>
      <c r="Y23" s="119">
        <f t="shared" si="2"/>
        <v>0</v>
      </c>
      <c r="Z23" s="126">
        <f t="shared" si="7"/>
        <v>0</v>
      </c>
      <c r="AA23" s="473">
        <f>VLOOKUP(C23,'FY25 IMPACT FILE IFC-OTHER TBLS'!A21:BN72,66,FALSE)</f>
        <v>1.0043134094999999</v>
      </c>
      <c r="AB23" s="127">
        <f t="shared" si="8"/>
        <v>28.734028196071669</v>
      </c>
      <c r="AC23" s="124">
        <f>VLOOKUP(C23,'FY25 IMPACT FILE IFC-OTHER TBLS'!A21:BN72,65,FALSE)</f>
        <v>0.99960000000000004</v>
      </c>
      <c r="AD23" s="127">
        <f t="shared" si="9"/>
        <v>-2.6646232587997067</v>
      </c>
      <c r="AE23" s="10" t="str">
        <f>VLOOKUP(C23,'FY25 IMPACT FILE IFC-OTHER TBLS'!A21:BL72,64,FALSE)</f>
        <v>No</v>
      </c>
      <c r="AF23" s="130">
        <f t="shared" si="3"/>
        <v>0</v>
      </c>
      <c r="AG23" s="129">
        <f t="shared" si="4"/>
        <v>0</v>
      </c>
    </row>
    <row r="24" spans="1:33" x14ac:dyDescent="0.25">
      <c r="A24" s="10">
        <v>0</v>
      </c>
      <c r="B24" s="15">
        <v>60031</v>
      </c>
      <c r="C24" s="16" t="s">
        <v>152</v>
      </c>
      <c r="D24" s="96" t="s">
        <v>321</v>
      </c>
      <c r="E24" s="96" t="s">
        <v>292</v>
      </c>
      <c r="F24" s="152" t="str">
        <f>VLOOKUP($B24,Characteristics!$A$2:$K$86,11,FALSE)</f>
        <v xml:space="preserve"> </v>
      </c>
      <c r="G24" s="213">
        <f>VLOOKUP($B24,Characteristics!$A$2:$K$86,3,FALSE)</f>
        <v>0</v>
      </c>
      <c r="H24" s="96"/>
      <c r="I24" s="96"/>
      <c r="J24" s="15">
        <v>60031</v>
      </c>
      <c r="K24" s="120" t="str">
        <f>IFERROR(VLOOKUP(C24,'FY25 IMPACT FILE IFC-OTHER TBLS'!$A$3:$BN$52,63,FALSE),"NA")</f>
        <v>00</v>
      </c>
      <c r="L24" s="18"/>
      <c r="M24" s="119">
        <f>IF(AND(N24&lt;=1,K24=0),'FY 2025 IFC Table 1A-1E'!$C$4,'FY 2025 IFC Table 1A-1E'!$B$4)</f>
        <v>4478.09</v>
      </c>
      <c r="N24" s="120">
        <f>IFERROR(VLOOKUP($C24,'FY25 IMPACT FILE IFC-OTHER TBLS'!$A$3:$BJ$52,12,FALSE),1)</f>
        <v>1.0083</v>
      </c>
      <c r="O24" s="119">
        <f>IF(N24&lt;=1,'FY 2025 IFC Table 1A-1E'!$C$5,'FY 2025 IFC Table 1A-1E'!$B$5)</f>
        <v>2146.3000000000002</v>
      </c>
      <c r="P24" s="119">
        <f t="shared" si="0"/>
        <v>6661.5581470000006</v>
      </c>
      <c r="Q24" s="150">
        <f>'FY 2025 IFC Table 1A-1E'!$B$33</f>
        <v>512.14</v>
      </c>
      <c r="R24" s="120">
        <f>IFERROR(VLOOKUP(C24,'FY25 IMPACT FILE IFC-OTHER TBLS'!$A$3:$BJ$52,48,FALSE),1)</f>
        <v>1.0056764320069</v>
      </c>
      <c r="S24" s="119">
        <f t="shared" si="5"/>
        <v>515.04712788801373</v>
      </c>
      <c r="T24" s="121">
        <f t="shared" si="6"/>
        <v>7176.6052748880147</v>
      </c>
      <c r="U24" s="367">
        <f>IFERROR(VLOOKUP($C24,'GME Add-On Posting'!$A$8:$Q$30,17,FALSE),0)</f>
        <v>2.7276849961476231</v>
      </c>
      <c r="V24" s="125">
        <f>IFERROR(VLOOKUP(C24,'FY25 IMPACT FILE IFC-OTHER TBLS'!$A$3:$BJ$55,23,FALSE),0)</f>
        <v>5.1799999999999997E-3</v>
      </c>
      <c r="W24" s="125">
        <f>IFERROR(VLOOKUP(C24,'FY25 IMPACT FILE IFC-OTHER TBLS'!$A$3:$BJ$55,24,FALSE),0)</f>
        <v>4.2399999999999998E-3</v>
      </c>
      <c r="X24" s="119">
        <f t="shared" si="1"/>
        <v>34.506871201460001</v>
      </c>
      <c r="Y24" s="119">
        <f t="shared" si="2"/>
        <v>2.1837998222451782</v>
      </c>
      <c r="Z24" s="126">
        <f t="shared" si="7"/>
        <v>36.690671023705178</v>
      </c>
      <c r="AA24" s="473">
        <f>VLOOKUP(C24,'FY25 IMPACT FILE IFC-OTHER TBLS'!A22:BN73,66,FALSE)</f>
        <v>1.0025234651999999</v>
      </c>
      <c r="AB24" s="127">
        <f t="shared" si="8"/>
        <v>16.810210161730375</v>
      </c>
      <c r="AC24" s="124">
        <f>VLOOKUP(C24,'FY25 IMPACT FILE IFC-OTHER TBLS'!A22:BN73,65,FALSE)</f>
        <v>0.99870000000000003</v>
      </c>
      <c r="AD24" s="127">
        <f t="shared" si="9"/>
        <v>-8.660025591099787</v>
      </c>
      <c r="AE24" s="10" t="str">
        <f>VLOOKUP(C24,'FY25 IMPACT FILE IFC-OTHER TBLS'!A22:BL73,64,FALSE)</f>
        <v>No</v>
      </c>
      <c r="AF24" s="130">
        <f t="shared" si="3"/>
        <v>0</v>
      </c>
      <c r="AG24" s="129">
        <f t="shared" si="4"/>
        <v>0</v>
      </c>
    </row>
    <row r="25" spans="1:33" x14ac:dyDescent="0.25">
      <c r="A25" s="10">
        <v>0</v>
      </c>
      <c r="B25" s="15">
        <v>60032</v>
      </c>
      <c r="C25" s="16" t="s">
        <v>153</v>
      </c>
      <c r="D25" s="96" t="s">
        <v>322</v>
      </c>
      <c r="E25" s="96" t="s">
        <v>310</v>
      </c>
      <c r="F25" s="152" t="str">
        <f>VLOOKUP($B25,Characteristics!$A$2:$K$86,11,FALSE)</f>
        <v xml:space="preserve"> </v>
      </c>
      <c r="G25" s="213">
        <f>VLOOKUP($B25,Characteristics!$A$2:$K$86,3,FALSE)</f>
        <v>0</v>
      </c>
      <c r="H25" s="96"/>
      <c r="I25" s="96"/>
      <c r="J25" s="15">
        <v>60032</v>
      </c>
      <c r="K25" s="120" t="str">
        <f>IFERROR(VLOOKUP(C25,'FY25 IMPACT FILE IFC-OTHER TBLS'!$A$3:$BN$52,63,FALSE),"NA")</f>
        <v>00</v>
      </c>
      <c r="L25" s="18"/>
      <c r="M25" s="119">
        <f>IF(AND(N25&lt;=1,K25=0),'FY 2025 IFC Table 1A-1E'!$C$4,'FY 2025 IFC Table 1A-1E'!$B$4)</f>
        <v>4478.09</v>
      </c>
      <c r="N25" s="120">
        <f>IFERROR(VLOOKUP($C25,'FY25 IMPACT FILE IFC-OTHER TBLS'!$A$3:$BJ$52,12,FALSE),1)</f>
        <v>1.0083</v>
      </c>
      <c r="O25" s="119">
        <f>IF(N25&lt;=1,'FY 2025 IFC Table 1A-1E'!$C$5,'FY 2025 IFC Table 1A-1E'!$B$5)</f>
        <v>2146.3000000000002</v>
      </c>
      <c r="P25" s="119">
        <f t="shared" si="0"/>
        <v>6661.5581470000006</v>
      </c>
      <c r="Q25" s="150">
        <f>'FY 2025 IFC Table 1A-1E'!$B$33</f>
        <v>512.14</v>
      </c>
      <c r="R25" s="120">
        <f>IFERROR(VLOOKUP(C25,'FY25 IMPACT FILE IFC-OTHER TBLS'!$A$3:$BJ$52,48,FALSE),1)</f>
        <v>1.0056764320069</v>
      </c>
      <c r="S25" s="119">
        <f t="shared" si="5"/>
        <v>515.04712788801373</v>
      </c>
      <c r="T25" s="121">
        <f t="shared" si="6"/>
        <v>7176.6052748880147</v>
      </c>
      <c r="U25" s="367">
        <f>IFERROR(VLOOKUP($C25,'GME Add-On Posting'!$A$8:$Q$30,17,FALSE),0)</f>
        <v>5.6134804032202608</v>
      </c>
      <c r="V25" s="125">
        <f>IFERROR(VLOOKUP(C25,'FY25 IMPACT FILE IFC-OTHER TBLS'!$A$3:$BJ$55,23,FALSE),0)</f>
        <v>2.6360000000000001E-2</v>
      </c>
      <c r="W25" s="125">
        <f>IFERROR(VLOOKUP(C25,'FY25 IMPACT FILE IFC-OTHER TBLS'!$A$3:$BJ$55,24,FALSE),0)</f>
        <v>2.5930000000000002E-2</v>
      </c>
      <c r="X25" s="119">
        <f t="shared" si="1"/>
        <v>175.59867275492002</v>
      </c>
      <c r="Y25" s="119">
        <f t="shared" si="2"/>
        <v>13.355172026136197</v>
      </c>
      <c r="Z25" s="126">
        <f t="shared" si="7"/>
        <v>188.9538447810562</v>
      </c>
      <c r="AA25" s="473">
        <f>VLOOKUP(C25,'FY25 IMPACT FILE IFC-OTHER TBLS'!A23:BN74,66,FALSE)</f>
        <v>0.9954382692</v>
      </c>
      <c r="AB25" s="127">
        <f t="shared" si="8"/>
        <v>-30.38823497516081</v>
      </c>
      <c r="AC25" s="124">
        <f>VLOOKUP(C25,'FY25 IMPACT FILE IFC-OTHER TBLS'!A23:BN74,65,FALSE)</f>
        <v>0.99099999999999999</v>
      </c>
      <c r="AD25" s="127">
        <f t="shared" si="9"/>
        <v>-59.954023323000058</v>
      </c>
      <c r="AE25" s="10" t="str">
        <f>VLOOKUP(C25,'FY25 IMPACT FILE IFC-OTHER TBLS'!A23:BL74,64,FALSE)</f>
        <v>No</v>
      </c>
      <c r="AF25" s="130">
        <f t="shared" si="3"/>
        <v>0</v>
      </c>
      <c r="AG25" s="129">
        <f t="shared" si="4"/>
        <v>0</v>
      </c>
    </row>
    <row r="26" spans="1:33" x14ac:dyDescent="0.25">
      <c r="A26" s="10">
        <v>0</v>
      </c>
      <c r="B26" s="15">
        <v>60034</v>
      </c>
      <c r="C26" s="16" t="s">
        <v>154</v>
      </c>
      <c r="D26" s="96" t="s">
        <v>323</v>
      </c>
      <c r="E26" s="96" t="s">
        <v>310</v>
      </c>
      <c r="F26" s="152" t="str">
        <f>VLOOKUP($B26,Characteristics!$A$2:$K$86,11,FALSE)</f>
        <v xml:space="preserve"> </v>
      </c>
      <c r="G26" s="213">
        <f>VLOOKUP($B26,Characteristics!$A$2:$K$86,3,FALSE)</f>
        <v>0</v>
      </c>
      <c r="H26" s="96"/>
      <c r="I26" s="96"/>
      <c r="J26" s="15">
        <v>60034</v>
      </c>
      <c r="K26" s="120" t="str">
        <f>IFERROR(VLOOKUP(C26,'FY25 IMPACT FILE IFC-OTHER TBLS'!$A$3:$BN$52,63,FALSE),"NA")</f>
        <v>00</v>
      </c>
      <c r="L26" s="18"/>
      <c r="M26" s="119">
        <f>IF(AND(N26&lt;=1,K26=0),'FY 2025 IFC Table 1A-1E'!$C$4,'FY 2025 IFC Table 1A-1E'!$B$4)</f>
        <v>4478.09</v>
      </c>
      <c r="N26" s="120">
        <f>IFERROR(VLOOKUP($C26,'FY25 IMPACT FILE IFC-OTHER TBLS'!$A$3:$BJ$52,12,FALSE),1)</f>
        <v>1.0083</v>
      </c>
      <c r="O26" s="119">
        <f>IF(N26&lt;=1,'FY 2025 IFC Table 1A-1E'!$C$5,'FY 2025 IFC Table 1A-1E'!$B$5)</f>
        <v>2146.3000000000002</v>
      </c>
      <c r="P26" s="119">
        <f t="shared" si="0"/>
        <v>6661.5581470000006</v>
      </c>
      <c r="Q26" s="150">
        <f>'FY 2025 IFC Table 1A-1E'!$B$33</f>
        <v>512.14</v>
      </c>
      <c r="R26" s="120">
        <f>IFERROR(VLOOKUP(C26,'FY25 IMPACT FILE IFC-OTHER TBLS'!$A$3:$BJ$52,48,FALSE),1)</f>
        <v>1.0056764320069</v>
      </c>
      <c r="S26" s="119">
        <f t="shared" si="5"/>
        <v>515.04712788801373</v>
      </c>
      <c r="T26" s="121">
        <f t="shared" si="6"/>
        <v>7176.6052748880147</v>
      </c>
      <c r="U26" s="367">
        <f>IFERROR(VLOOKUP($C26,'GME Add-On Posting'!$A$8:$Q$30,17,FALSE),0)</f>
        <v>23.984466492990947</v>
      </c>
      <c r="V26" s="125">
        <f>IFERROR(VLOOKUP(C26,'FY25 IMPACT FILE IFC-OTHER TBLS'!$A$3:$BJ$55,23,FALSE),0)</f>
        <v>5.8229999999999997E-2</v>
      </c>
      <c r="W26" s="125">
        <f>IFERROR(VLOOKUP(C26,'FY25 IMPACT FILE IFC-OTHER TBLS'!$A$3:$BJ$55,24,FALSE),0)</f>
        <v>3.848E-2</v>
      </c>
      <c r="X26" s="119">
        <f t="shared" si="1"/>
        <v>387.90253089981002</v>
      </c>
      <c r="Y26" s="119">
        <f t="shared" si="2"/>
        <v>19.819013481130767</v>
      </c>
      <c r="Z26" s="126">
        <f t="shared" si="7"/>
        <v>407.72154438094077</v>
      </c>
      <c r="AA26" s="473">
        <f>VLOOKUP(C26,'FY25 IMPACT FILE IFC-OTHER TBLS'!A24:BN75,66,FALSE)</f>
        <v>1.001181007</v>
      </c>
      <c r="AB26" s="127">
        <f t="shared" si="8"/>
        <v>7.867346802514108</v>
      </c>
      <c r="AC26" s="124">
        <f>VLOOKUP(C26,'FY25 IMPACT FILE IFC-OTHER TBLS'!A24:BN75,65,FALSE)</f>
        <v>1</v>
      </c>
      <c r="AD26" s="127">
        <f t="shared" si="9"/>
        <v>0</v>
      </c>
      <c r="AE26" s="10" t="str">
        <f>VLOOKUP(C26,'FY25 IMPACT FILE IFC-OTHER TBLS'!A24:BL75,64,FALSE)</f>
        <v>No</v>
      </c>
      <c r="AF26" s="130">
        <f t="shared" si="3"/>
        <v>0</v>
      </c>
      <c r="AG26" s="129">
        <f t="shared" si="4"/>
        <v>0</v>
      </c>
    </row>
    <row r="27" spans="1:33" x14ac:dyDescent="0.25">
      <c r="A27" s="10">
        <v>0</v>
      </c>
      <c r="B27" s="15">
        <v>60044</v>
      </c>
      <c r="C27" s="16" t="s">
        <v>324</v>
      </c>
      <c r="D27" s="96" t="s">
        <v>325</v>
      </c>
      <c r="E27" s="96" t="s">
        <v>292</v>
      </c>
      <c r="F27" s="152" t="str">
        <f>VLOOKUP($B27,Characteristics!$A$2:$K$86,11,FALSE)</f>
        <v>SCH</v>
      </c>
      <c r="G27" s="213">
        <f>VLOOKUP($B27,Characteristics!$A$2:$K$86,3,FALSE)</f>
        <v>1</v>
      </c>
      <c r="H27" s="96"/>
      <c r="I27" s="96"/>
      <c r="J27" s="15">
        <v>60044</v>
      </c>
      <c r="K27" s="120" t="str">
        <f>IFERROR(VLOOKUP(C27,'FY25 IMPACT FILE IFC-OTHER TBLS'!$A$3:$BN$52,63,FALSE),"NA")</f>
        <v>00</v>
      </c>
      <c r="L27" s="18"/>
      <c r="M27" s="119">
        <f>IF(AND(N27&lt;=1,K27=0),'FY 2025 IFC Table 1A-1E'!$C$4,'FY 2025 IFC Table 1A-1E'!$B$4)</f>
        <v>4478.09</v>
      </c>
      <c r="N27" s="120">
        <f>IFERROR(VLOOKUP($C27,'FY25 IMPACT FILE IFC-OTHER TBLS'!$A$3:$BJ$52,12,FALSE),1)</f>
        <v>1.0083</v>
      </c>
      <c r="O27" s="119">
        <f>IF(N27&lt;=1,'FY 2025 IFC Table 1A-1E'!$C$5,'FY 2025 IFC Table 1A-1E'!$B$5)</f>
        <v>2146.3000000000002</v>
      </c>
      <c r="P27" s="119">
        <f t="shared" si="0"/>
        <v>6661.5581470000006</v>
      </c>
      <c r="Q27" s="150">
        <f>'FY 2025 IFC Table 1A-1E'!$B$33</f>
        <v>512.14</v>
      </c>
      <c r="R27" s="120">
        <f>IFERROR(VLOOKUP(C27,'FY25 IMPACT FILE IFC-OTHER TBLS'!$A$3:$BJ$52,48,FALSE),1)</f>
        <v>1.0056764320069</v>
      </c>
      <c r="S27" s="119">
        <f t="shared" si="5"/>
        <v>515.04712788801373</v>
      </c>
      <c r="T27" s="121">
        <f t="shared" si="6"/>
        <v>7176.6052748880147</v>
      </c>
      <c r="U27" s="367">
        <f>IFERROR(VLOOKUP($C27,'GME Add-On Posting'!$A$8:$Q$30,17,FALSE),0)</f>
        <v>0</v>
      </c>
      <c r="V27" s="125">
        <f>IFERROR(VLOOKUP(C27,'FY25 IMPACT FILE IFC-OTHER TBLS'!$A$3:$BJ$55,23,FALSE),0)</f>
        <v>0</v>
      </c>
      <c r="W27" s="125">
        <f>IFERROR(VLOOKUP(C27,'FY25 IMPACT FILE IFC-OTHER TBLS'!$A$3:$BJ$55,24,FALSE),0)</f>
        <v>0</v>
      </c>
      <c r="X27" s="119">
        <f t="shared" si="1"/>
        <v>0</v>
      </c>
      <c r="Y27" s="119">
        <f t="shared" si="2"/>
        <v>0</v>
      </c>
      <c r="Z27" s="126">
        <f t="shared" si="7"/>
        <v>0</v>
      </c>
      <c r="AA27" s="473">
        <f>VLOOKUP(C27,'FY25 IMPACT FILE IFC-OTHER TBLS'!A25:BN76,66,FALSE)</f>
        <v>0.99750167720000005</v>
      </c>
      <c r="AB27" s="127">
        <f t="shared" si="8"/>
        <v>-16.642722602175535</v>
      </c>
      <c r="AC27" s="124">
        <f>VLOOKUP(C27,'FY25 IMPACT FILE IFC-OTHER TBLS'!A25:BN76,65,FALSE)</f>
        <v>0.99929999999999997</v>
      </c>
      <c r="AD27" s="127">
        <f t="shared" si="9"/>
        <v>-4.6630907029002264</v>
      </c>
      <c r="AE27" s="10" t="str">
        <f>VLOOKUP(C27,'FY25 IMPACT FILE IFC-OTHER TBLS'!A25:BL76,64,FALSE)</f>
        <v>Yes</v>
      </c>
      <c r="AF27" s="130">
        <f t="shared" si="3"/>
        <v>-0.01</v>
      </c>
      <c r="AG27" s="129">
        <f t="shared" si="4"/>
        <v>-71.766052748880142</v>
      </c>
    </row>
    <row r="28" spans="1:33" x14ac:dyDescent="0.25">
      <c r="A28" s="10">
        <v>0</v>
      </c>
      <c r="B28" s="15">
        <v>60049</v>
      </c>
      <c r="C28" s="16" t="s">
        <v>326</v>
      </c>
      <c r="D28" s="96" t="s">
        <v>327</v>
      </c>
      <c r="E28" s="96" t="s">
        <v>304</v>
      </c>
      <c r="F28" s="152" t="str">
        <f>VLOOKUP($B28,Characteristics!$A$2:$K$86,11,FALSE)</f>
        <v>SCH</v>
      </c>
      <c r="G28" s="213">
        <f>VLOOKUP($B28,Characteristics!$A$2:$K$86,3,FALSE)</f>
        <v>1</v>
      </c>
      <c r="H28" s="96"/>
      <c r="I28" s="96"/>
      <c r="J28" s="15">
        <v>60049</v>
      </c>
      <c r="K28" s="120" t="str">
        <f>IFERROR(VLOOKUP(C28,'FY25 IMPACT FILE IFC-OTHER TBLS'!$A$3:$BN$52,63,FALSE),"NA")</f>
        <v>00</v>
      </c>
      <c r="L28" s="18"/>
      <c r="M28" s="119">
        <f>IF(AND(N28&lt;=1,K28=0),'FY 2025 IFC Table 1A-1E'!$C$4,'FY 2025 IFC Table 1A-1E'!$B$4)</f>
        <v>4478.09</v>
      </c>
      <c r="N28" s="120">
        <f>IFERROR(VLOOKUP($C28,'FY25 IMPACT FILE IFC-OTHER TBLS'!$A$3:$BJ$52,12,FALSE),1)</f>
        <v>1.0083</v>
      </c>
      <c r="O28" s="119">
        <f>IF(N28&lt;=1,'FY 2025 IFC Table 1A-1E'!$C$5,'FY 2025 IFC Table 1A-1E'!$B$5)</f>
        <v>2146.3000000000002</v>
      </c>
      <c r="P28" s="119">
        <f t="shared" si="0"/>
        <v>6661.5581470000006</v>
      </c>
      <c r="Q28" s="150">
        <f>'FY 2025 IFC Table 1A-1E'!$B$33</f>
        <v>512.14</v>
      </c>
      <c r="R28" s="120">
        <f>IFERROR(VLOOKUP(C28,'FY25 IMPACT FILE IFC-OTHER TBLS'!$A$3:$BJ$52,48,FALSE),1)</f>
        <v>1.0056764320069</v>
      </c>
      <c r="S28" s="119">
        <f t="shared" si="5"/>
        <v>515.04712788801373</v>
      </c>
      <c r="T28" s="121">
        <f t="shared" si="6"/>
        <v>7176.6052748880147</v>
      </c>
      <c r="U28" s="367">
        <f>IFERROR(VLOOKUP($C28,'GME Add-On Posting'!$A$8:$Q$30,17,FALSE),0)</f>
        <v>0</v>
      </c>
      <c r="V28" s="125">
        <f>IFERROR(VLOOKUP(C28,'FY25 IMPACT FILE IFC-OTHER TBLS'!$A$3:$BJ$55,23,FALSE),0)</f>
        <v>0</v>
      </c>
      <c r="W28" s="125">
        <f>IFERROR(VLOOKUP(C28,'FY25 IMPACT FILE IFC-OTHER TBLS'!$A$3:$BJ$55,24,FALSE),0)</f>
        <v>0</v>
      </c>
      <c r="X28" s="119">
        <f t="shared" si="1"/>
        <v>0</v>
      </c>
      <c r="Y28" s="119">
        <f t="shared" si="2"/>
        <v>0</v>
      </c>
      <c r="Z28" s="126">
        <f t="shared" si="7"/>
        <v>0</v>
      </c>
      <c r="AA28" s="473">
        <f>VLOOKUP(C28,'FY25 IMPACT FILE IFC-OTHER TBLS'!A26:BN77,66,FALSE)</f>
        <v>1.0131139687999999</v>
      </c>
      <c r="AB28" s="127">
        <f t="shared" si="8"/>
        <v>87.359465699143357</v>
      </c>
      <c r="AC28" s="124">
        <f>VLOOKUP(C28,'FY25 IMPACT FILE IFC-OTHER TBLS'!A26:BN77,65,FALSE)</f>
        <v>0.99790000000000001</v>
      </c>
      <c r="AD28" s="127">
        <f t="shared" si="9"/>
        <v>-13.989272108699939</v>
      </c>
      <c r="AE28" s="10" t="str">
        <f>VLOOKUP(C28,'FY25 IMPACT FILE IFC-OTHER TBLS'!A26:BL77,64,FALSE)</f>
        <v>No</v>
      </c>
      <c r="AF28" s="130">
        <f t="shared" si="3"/>
        <v>0</v>
      </c>
      <c r="AG28" s="129">
        <f t="shared" si="4"/>
        <v>0</v>
      </c>
    </row>
    <row r="29" spans="1:33" x14ac:dyDescent="0.25">
      <c r="A29" s="10">
        <v>0</v>
      </c>
      <c r="B29" s="15">
        <v>60054</v>
      </c>
      <c r="C29" s="16" t="s">
        <v>328</v>
      </c>
      <c r="D29" s="96" t="s">
        <v>329</v>
      </c>
      <c r="E29" s="96" t="s">
        <v>240</v>
      </c>
      <c r="F29" s="152" t="str">
        <f>VLOOKUP($B29,Characteristics!$A$2:$K$86,11,FALSE)</f>
        <v xml:space="preserve"> </v>
      </c>
      <c r="G29" s="213">
        <f>VLOOKUP($B29,Characteristics!$A$2:$K$86,3,FALSE)</f>
        <v>0</v>
      </c>
      <c r="H29" s="96"/>
      <c r="I29" s="96"/>
      <c r="J29" s="15">
        <v>60054</v>
      </c>
      <c r="K29" s="120" t="str">
        <f>IFERROR(VLOOKUP(C29,'FY25 IMPACT FILE IFC-OTHER TBLS'!$A$3:$BN$52,63,FALSE),"NA")</f>
        <v>00</v>
      </c>
      <c r="L29" s="18"/>
      <c r="M29" s="119">
        <f>IF(AND(N29&lt;=1,K29=0),'FY 2025 IFC Table 1A-1E'!$C$4,'FY 2025 IFC Table 1A-1E'!$B$4)</f>
        <v>4478.09</v>
      </c>
      <c r="N29" s="120">
        <f>IFERROR(VLOOKUP($C29,'FY25 IMPACT FILE IFC-OTHER TBLS'!$A$3:$BJ$52,12,FALSE),1)</f>
        <v>1.0083</v>
      </c>
      <c r="O29" s="119">
        <f>IF(N29&lt;=1,'FY 2025 IFC Table 1A-1E'!$C$5,'FY 2025 IFC Table 1A-1E'!$B$5)</f>
        <v>2146.3000000000002</v>
      </c>
      <c r="P29" s="119">
        <f t="shared" si="0"/>
        <v>6661.5581470000006</v>
      </c>
      <c r="Q29" s="150">
        <f>'FY 2025 IFC Table 1A-1E'!$B$33</f>
        <v>512.14</v>
      </c>
      <c r="R29" s="120">
        <f>IFERROR(VLOOKUP(C29,'FY25 IMPACT FILE IFC-OTHER TBLS'!$A$3:$BJ$52,48,FALSE),1)</f>
        <v>1.0056764320069</v>
      </c>
      <c r="S29" s="119">
        <f t="shared" si="5"/>
        <v>515.04712788801373</v>
      </c>
      <c r="T29" s="121">
        <f t="shared" si="6"/>
        <v>7176.6052748880147</v>
      </c>
      <c r="U29" s="367">
        <f>IFERROR(VLOOKUP($C29,'GME Add-On Posting'!$A$8:$Q$30,17,FALSE),0)</f>
        <v>0</v>
      </c>
      <c r="V29" s="125">
        <f>IFERROR(VLOOKUP(C29,'FY25 IMPACT FILE IFC-OTHER TBLS'!$A$3:$BJ$55,23,FALSE),0)</f>
        <v>0</v>
      </c>
      <c r="W29" s="125">
        <f>IFERROR(VLOOKUP(C29,'FY25 IMPACT FILE IFC-OTHER TBLS'!$A$3:$BJ$55,24,FALSE),0)</f>
        <v>0</v>
      </c>
      <c r="X29" s="119">
        <f t="shared" si="1"/>
        <v>0</v>
      </c>
      <c r="Y29" s="119">
        <f t="shared" si="2"/>
        <v>0</v>
      </c>
      <c r="Z29" s="126">
        <f t="shared" si="7"/>
        <v>0</v>
      </c>
      <c r="AA29" s="473">
        <f>VLOOKUP(C29,'FY25 IMPACT FILE IFC-OTHER TBLS'!A27:BN78,66,FALSE)</f>
        <v>1.0015912026</v>
      </c>
      <c r="AB29" s="127">
        <f t="shared" si="8"/>
        <v>10.599888643557636</v>
      </c>
      <c r="AC29" s="124">
        <f>VLOOKUP(C29,'FY25 IMPACT FILE IFC-OTHER TBLS'!A27:BN78,65,FALSE)</f>
        <v>1</v>
      </c>
      <c r="AD29" s="127">
        <f t="shared" si="9"/>
        <v>0</v>
      </c>
      <c r="AE29" s="10" t="str">
        <f>VLOOKUP(C29,'FY25 IMPACT FILE IFC-OTHER TBLS'!A27:BL78,64,FALSE)</f>
        <v>No</v>
      </c>
      <c r="AF29" s="130">
        <f t="shared" si="3"/>
        <v>0</v>
      </c>
      <c r="AG29" s="129">
        <f t="shared" si="4"/>
        <v>0</v>
      </c>
    </row>
    <row r="30" spans="1:33" x14ac:dyDescent="0.25">
      <c r="A30" s="10">
        <v>0</v>
      </c>
      <c r="B30" s="15">
        <v>60064</v>
      </c>
      <c r="C30" s="16" t="s">
        <v>330</v>
      </c>
      <c r="D30" s="96" t="s">
        <v>331</v>
      </c>
      <c r="E30" s="96" t="s">
        <v>332</v>
      </c>
      <c r="F30" s="152" t="str">
        <f>VLOOKUP($B30,Characteristics!$A$2:$K$86,11,FALSE)</f>
        <v xml:space="preserve"> </v>
      </c>
      <c r="G30" s="213">
        <f>VLOOKUP($B30,Characteristics!$A$2:$K$86,3,FALSE)</f>
        <v>0</v>
      </c>
      <c r="H30" s="96"/>
      <c r="I30" s="96"/>
      <c r="J30" s="15">
        <v>60064</v>
      </c>
      <c r="K30" s="120" t="str">
        <f>IFERROR(VLOOKUP(C30,'FY25 IMPACT FILE IFC-OTHER TBLS'!$A$3:$BN$52,63,FALSE),"NA")</f>
        <v>00</v>
      </c>
      <c r="L30" s="18"/>
      <c r="M30" s="119">
        <f>IF(AND(N30&lt;=1,K30=0),'FY 2025 IFC Table 1A-1E'!$C$4,'FY 2025 IFC Table 1A-1E'!$B$4)</f>
        <v>4478.09</v>
      </c>
      <c r="N30" s="120">
        <f>IFERROR(VLOOKUP($C30,'FY25 IMPACT FILE IFC-OTHER TBLS'!$A$3:$BJ$52,12,FALSE),1)</f>
        <v>1.0083</v>
      </c>
      <c r="O30" s="119">
        <f>IF(N30&lt;=1,'FY 2025 IFC Table 1A-1E'!$C$5,'FY 2025 IFC Table 1A-1E'!$B$5)</f>
        <v>2146.3000000000002</v>
      </c>
      <c r="P30" s="119">
        <f t="shared" si="0"/>
        <v>6661.5581470000006</v>
      </c>
      <c r="Q30" s="150">
        <f>'FY 2025 IFC Table 1A-1E'!$B$33</f>
        <v>512.14</v>
      </c>
      <c r="R30" s="120">
        <f>IFERROR(VLOOKUP(C30,'FY25 IMPACT FILE IFC-OTHER TBLS'!$A$3:$BJ$52,48,FALSE),1)</f>
        <v>1.0056764320069</v>
      </c>
      <c r="S30" s="119">
        <f t="shared" si="5"/>
        <v>515.04712788801373</v>
      </c>
      <c r="T30" s="121">
        <f t="shared" si="6"/>
        <v>7176.6052748880147</v>
      </c>
      <c r="U30" s="367">
        <f>IFERROR(VLOOKUP($C30,'GME Add-On Posting'!$A$8:$Q$30,17,FALSE),0)</f>
        <v>0</v>
      </c>
      <c r="V30" s="125">
        <f>IFERROR(VLOOKUP(C30,'FY25 IMPACT FILE IFC-OTHER TBLS'!$A$3:$BJ$55,23,FALSE),0)</f>
        <v>0</v>
      </c>
      <c r="W30" s="125">
        <f>IFERROR(VLOOKUP(C30,'FY25 IMPACT FILE IFC-OTHER TBLS'!$A$3:$BJ$55,24,FALSE),0)</f>
        <v>0</v>
      </c>
      <c r="X30" s="119">
        <f t="shared" si="1"/>
        <v>0</v>
      </c>
      <c r="Y30" s="119">
        <f t="shared" si="2"/>
        <v>0</v>
      </c>
      <c r="Z30" s="126">
        <f t="shared" si="7"/>
        <v>0</v>
      </c>
      <c r="AA30" s="473">
        <f>VLOOKUP(C30,'FY25 IMPACT FILE IFC-OTHER TBLS'!A28:BN79,66,FALSE)</f>
        <v>1.0099069853</v>
      </c>
      <c r="AB30" s="127">
        <f t="shared" si="8"/>
        <v>65.995958637424266</v>
      </c>
      <c r="AC30" s="124">
        <f>VLOOKUP(C30,'FY25 IMPACT FILE IFC-OTHER TBLS'!A28:BN79,65,FALSE)</f>
        <v>0.99729999999999996</v>
      </c>
      <c r="AD30" s="127">
        <f t="shared" si="9"/>
        <v>-17.98620699690024</v>
      </c>
      <c r="AE30" s="10" t="str">
        <f>VLOOKUP(C30,'FY25 IMPACT FILE IFC-OTHER TBLS'!A28:BL79,64,FALSE)</f>
        <v>No</v>
      </c>
      <c r="AF30" s="130">
        <f t="shared" si="3"/>
        <v>0</v>
      </c>
      <c r="AG30" s="129">
        <f t="shared" si="4"/>
        <v>0</v>
      </c>
    </row>
    <row r="31" spans="1:33" x14ac:dyDescent="0.25">
      <c r="A31" s="10">
        <v>0</v>
      </c>
      <c r="B31" s="15">
        <v>60065</v>
      </c>
      <c r="C31" s="16" t="s">
        <v>155</v>
      </c>
      <c r="D31" s="96" t="s">
        <v>333</v>
      </c>
      <c r="E31" s="96" t="s">
        <v>310</v>
      </c>
      <c r="F31" s="152" t="str">
        <f>VLOOKUP($B31,Characteristics!$A$2:$K$86,11,FALSE)</f>
        <v xml:space="preserve"> </v>
      </c>
      <c r="G31" s="213">
        <f>VLOOKUP($B31,Characteristics!$A$2:$K$86,3,FALSE)</f>
        <v>0</v>
      </c>
      <c r="H31" s="96"/>
      <c r="I31" s="96"/>
      <c r="J31" s="15">
        <v>60065</v>
      </c>
      <c r="K31" s="120" t="str">
        <f>IFERROR(VLOOKUP(C31,'FY25 IMPACT FILE IFC-OTHER TBLS'!$A$3:$BN$52,63,FALSE),"NA")</f>
        <v>00</v>
      </c>
      <c r="L31" s="18"/>
      <c r="M31" s="119">
        <f>IF(AND(N31&lt;=1,K31=0),'FY 2025 IFC Table 1A-1E'!$C$4,'FY 2025 IFC Table 1A-1E'!$B$4)</f>
        <v>4478.09</v>
      </c>
      <c r="N31" s="120">
        <f>IFERROR(VLOOKUP($C31,'FY25 IMPACT FILE IFC-OTHER TBLS'!$A$3:$BJ$52,12,FALSE),1)</f>
        <v>1.0083</v>
      </c>
      <c r="O31" s="119">
        <f>IF(N31&lt;=1,'FY 2025 IFC Table 1A-1E'!$C$5,'FY 2025 IFC Table 1A-1E'!$B$5)</f>
        <v>2146.3000000000002</v>
      </c>
      <c r="P31" s="119">
        <f t="shared" si="0"/>
        <v>6661.5581470000006</v>
      </c>
      <c r="Q31" s="150">
        <f>'FY 2025 IFC Table 1A-1E'!$B$33</f>
        <v>512.14</v>
      </c>
      <c r="R31" s="120">
        <f>IFERROR(VLOOKUP(C31,'FY25 IMPACT FILE IFC-OTHER TBLS'!$A$3:$BJ$52,48,FALSE),1)</f>
        <v>1.0056764320069</v>
      </c>
      <c r="S31" s="119">
        <f t="shared" si="5"/>
        <v>515.04712788801373</v>
      </c>
      <c r="T31" s="121">
        <f t="shared" si="6"/>
        <v>7176.6052748880147</v>
      </c>
      <c r="U31" s="367">
        <f>IFERROR(VLOOKUP($C31,'GME Add-On Posting'!$A$8:$Q$30,17,FALSE),0)</f>
        <v>1.8361228958422728</v>
      </c>
      <c r="V31" s="125">
        <f>IFERROR(VLOOKUP(C31,'FY25 IMPACT FILE IFC-OTHER TBLS'!$A$3:$BJ$55,23,FALSE),0)</f>
        <v>8.4899999999999993E-3</v>
      </c>
      <c r="W31" s="125">
        <f>IFERROR(VLOOKUP(C31,'FY25 IMPACT FILE IFC-OTHER TBLS'!$A$3:$BJ$55,24,FALSE),0)</f>
        <v>7.4200000000000004E-3</v>
      </c>
      <c r="X31" s="119">
        <f t="shared" si="1"/>
        <v>56.556628668030001</v>
      </c>
      <c r="Y31" s="119">
        <f t="shared" si="2"/>
        <v>3.8216496889290621</v>
      </c>
      <c r="Z31" s="126">
        <f t="shared" si="7"/>
        <v>60.378278356959065</v>
      </c>
      <c r="AA31" s="473">
        <f>VLOOKUP(C31,'FY25 IMPACT FILE IFC-OTHER TBLS'!A29:BN80,66,FALSE)</f>
        <v>0.98525796129999998</v>
      </c>
      <c r="AB31" s="127">
        <f t="shared" si="8"/>
        <v>-98.204948005374405</v>
      </c>
      <c r="AC31" s="124">
        <f>VLOOKUP(C31,'FY25 IMPACT FILE IFC-OTHER TBLS'!A29:BN80,65,FALSE)</f>
        <v>0.99790000000000001</v>
      </c>
      <c r="AD31" s="127">
        <f t="shared" si="9"/>
        <v>-13.989272108699939</v>
      </c>
      <c r="AE31" s="10" t="str">
        <f>VLOOKUP(C31,'FY25 IMPACT FILE IFC-OTHER TBLS'!A29:BL80,64,FALSE)</f>
        <v>No</v>
      </c>
      <c r="AF31" s="130">
        <f t="shared" si="3"/>
        <v>0</v>
      </c>
      <c r="AG31" s="129">
        <f t="shared" si="4"/>
        <v>0</v>
      </c>
    </row>
    <row r="32" spans="1:33" x14ac:dyDescent="0.25">
      <c r="A32" s="10">
        <v>0</v>
      </c>
      <c r="B32" s="15">
        <v>60071</v>
      </c>
      <c r="C32" s="16" t="s">
        <v>334</v>
      </c>
      <c r="D32" s="96" t="s">
        <v>335</v>
      </c>
      <c r="E32" s="96" t="s">
        <v>240</v>
      </c>
      <c r="F32" s="152" t="str">
        <f>VLOOKUP($B32,Characteristics!$A$2:$K$86,11,FALSE)</f>
        <v>SCH</v>
      </c>
      <c r="G32" s="213">
        <f>VLOOKUP($B32,Characteristics!$A$2:$K$86,3,FALSE)</f>
        <v>1</v>
      </c>
      <c r="H32" s="96"/>
      <c r="I32" s="96"/>
      <c r="J32" s="15">
        <v>60071</v>
      </c>
      <c r="K32" s="120" t="str">
        <f>IFERROR(VLOOKUP(C32,'FY25 IMPACT FILE IFC-OTHER TBLS'!$A$3:$BN$52,63,FALSE),"NA")</f>
        <v>00</v>
      </c>
      <c r="L32" s="18"/>
      <c r="M32" s="119">
        <f>IF(AND(N32&lt;=1,K32=0),'FY 2025 IFC Table 1A-1E'!$C$4,'FY 2025 IFC Table 1A-1E'!$B$4)</f>
        <v>4478.09</v>
      </c>
      <c r="N32" s="120">
        <f>IFERROR(VLOOKUP($C32,'FY25 IMPACT FILE IFC-OTHER TBLS'!$A$3:$BJ$52,12,FALSE),1)</f>
        <v>1.0083</v>
      </c>
      <c r="O32" s="119">
        <f>IF(N32&lt;=1,'FY 2025 IFC Table 1A-1E'!$C$5,'FY 2025 IFC Table 1A-1E'!$B$5)</f>
        <v>2146.3000000000002</v>
      </c>
      <c r="P32" s="119">
        <f t="shared" si="0"/>
        <v>6661.5581470000006</v>
      </c>
      <c r="Q32" s="150">
        <f>'FY 2025 IFC Table 1A-1E'!$B$33</f>
        <v>512.14</v>
      </c>
      <c r="R32" s="120">
        <f>IFERROR(VLOOKUP(C32,'FY25 IMPACT FILE IFC-OTHER TBLS'!$A$3:$BJ$52,48,FALSE),1)</f>
        <v>1.0056764320069</v>
      </c>
      <c r="S32" s="119">
        <f t="shared" si="5"/>
        <v>515.04712788801373</v>
      </c>
      <c r="T32" s="121">
        <f t="shared" si="6"/>
        <v>7176.6052748880147</v>
      </c>
      <c r="U32" s="367">
        <f>IFERROR(VLOOKUP($C32,'GME Add-On Posting'!$A$8:$Q$30,17,FALSE),0)</f>
        <v>0</v>
      </c>
      <c r="V32" s="125">
        <f>IFERROR(VLOOKUP(C32,'FY25 IMPACT FILE IFC-OTHER TBLS'!$A$3:$BJ$55,23,FALSE),0)</f>
        <v>0</v>
      </c>
      <c r="W32" s="125">
        <f>IFERROR(VLOOKUP(C32,'FY25 IMPACT FILE IFC-OTHER TBLS'!$A$3:$BJ$55,24,FALSE),0)</f>
        <v>0</v>
      </c>
      <c r="X32" s="119">
        <f t="shared" si="1"/>
        <v>0</v>
      </c>
      <c r="Y32" s="119">
        <f t="shared" si="2"/>
        <v>0</v>
      </c>
      <c r="Z32" s="126">
        <f t="shared" si="7"/>
        <v>0</v>
      </c>
      <c r="AA32" s="473">
        <f>VLOOKUP(C32,'FY25 IMPACT FILE IFC-OTHER TBLS'!A30:BN81,66,FALSE)</f>
        <v>1.0083407841000001</v>
      </c>
      <c r="AB32" s="127">
        <f t="shared" si="8"/>
        <v>55.562618273723423</v>
      </c>
      <c r="AC32" s="124">
        <f>VLOOKUP(C32,'FY25 IMPACT FILE IFC-OTHER TBLS'!A30:BN81,65,FALSE)</f>
        <v>0.99850000000000005</v>
      </c>
      <c r="AD32" s="127">
        <f t="shared" si="9"/>
        <v>-9.9923372204996408</v>
      </c>
      <c r="AE32" s="10" t="str">
        <f>VLOOKUP(C32,'FY25 IMPACT FILE IFC-OTHER TBLS'!A30:BL81,64,FALSE)</f>
        <v>No</v>
      </c>
      <c r="AF32" s="130">
        <f t="shared" si="3"/>
        <v>0</v>
      </c>
      <c r="AG32" s="129">
        <f t="shared" si="4"/>
        <v>0</v>
      </c>
    </row>
    <row r="33" spans="1:33" x14ac:dyDescent="0.25">
      <c r="A33" s="10">
        <v>0</v>
      </c>
      <c r="B33" s="15">
        <v>60075</v>
      </c>
      <c r="C33" s="16" t="s">
        <v>336</v>
      </c>
      <c r="D33" s="96" t="s">
        <v>337</v>
      </c>
      <c r="E33" s="96" t="s">
        <v>240</v>
      </c>
      <c r="F33" s="152" t="str">
        <f>VLOOKUP($B33,Characteristics!$A$2:$K$86,11,FALSE)</f>
        <v>SCH</v>
      </c>
      <c r="G33" s="213">
        <f>VLOOKUP($B33,Characteristics!$A$2:$K$86,3,FALSE)</f>
        <v>1</v>
      </c>
      <c r="H33" s="96"/>
      <c r="I33" s="96"/>
      <c r="J33" s="15">
        <v>60075</v>
      </c>
      <c r="K33" s="120" t="str">
        <f>IFERROR(VLOOKUP(C33,'FY25 IMPACT FILE IFC-OTHER TBLS'!$A$3:$BN$52,63,FALSE),"NA")</f>
        <v>00</v>
      </c>
      <c r="L33" s="18"/>
      <c r="M33" s="119">
        <f>IF(AND(N33&lt;=1,K33=0),'FY 2025 IFC Table 1A-1E'!$C$4,'FY 2025 IFC Table 1A-1E'!$B$4)</f>
        <v>4478.09</v>
      </c>
      <c r="N33" s="120">
        <f>IFERROR(VLOOKUP($C33,'FY25 IMPACT FILE IFC-OTHER TBLS'!$A$3:$BJ$52,12,FALSE),1)</f>
        <v>1.0083</v>
      </c>
      <c r="O33" s="119">
        <f>IF(N33&lt;=1,'FY 2025 IFC Table 1A-1E'!$C$5,'FY 2025 IFC Table 1A-1E'!$B$5)</f>
        <v>2146.3000000000002</v>
      </c>
      <c r="P33" s="119">
        <f t="shared" si="0"/>
        <v>6661.5581470000006</v>
      </c>
      <c r="Q33" s="150">
        <f>'FY 2025 IFC Table 1A-1E'!$B$33</f>
        <v>512.14</v>
      </c>
      <c r="R33" s="120">
        <f>IFERROR(VLOOKUP(C33,'FY25 IMPACT FILE IFC-OTHER TBLS'!$A$3:$BJ$52,48,FALSE),1)</f>
        <v>1.0056764320069</v>
      </c>
      <c r="S33" s="119">
        <f t="shared" si="5"/>
        <v>515.04712788801373</v>
      </c>
      <c r="T33" s="121">
        <f t="shared" si="6"/>
        <v>7176.6052748880147</v>
      </c>
      <c r="U33" s="367">
        <f>IFERROR(VLOOKUP($C33,'GME Add-On Posting'!$A$8:$Q$30,17,FALSE),0)</f>
        <v>0</v>
      </c>
      <c r="V33" s="125">
        <f>IFERROR(VLOOKUP(C33,'FY25 IMPACT FILE IFC-OTHER TBLS'!$A$3:$BJ$55,23,FALSE),0)</f>
        <v>0</v>
      </c>
      <c r="W33" s="125">
        <f>IFERROR(VLOOKUP(C33,'FY25 IMPACT FILE IFC-OTHER TBLS'!$A$3:$BJ$55,24,FALSE),0)</f>
        <v>0</v>
      </c>
      <c r="X33" s="119">
        <f t="shared" si="1"/>
        <v>0</v>
      </c>
      <c r="Y33" s="119">
        <f t="shared" si="2"/>
        <v>0</v>
      </c>
      <c r="Z33" s="126">
        <f t="shared" si="7"/>
        <v>0</v>
      </c>
      <c r="AA33" s="473">
        <f>VLOOKUP(C33,'FY25 IMPACT FILE IFC-OTHER TBLS'!A31:BN82,66,FALSE)</f>
        <v>1.0105782144</v>
      </c>
      <c r="AB33" s="127">
        <f t="shared" si="8"/>
        <v>70.467390317032411</v>
      </c>
      <c r="AC33" s="124">
        <f>VLOOKUP(C33,'FY25 IMPACT FILE IFC-OTHER TBLS'!A31:BN82,65,FALSE)</f>
        <v>0.99960000000000004</v>
      </c>
      <c r="AD33" s="127">
        <f t="shared" si="9"/>
        <v>-2.6646232587997067</v>
      </c>
      <c r="AE33" s="10" t="str">
        <f>VLOOKUP(C33,'FY25 IMPACT FILE IFC-OTHER TBLS'!A31:BL82,64,FALSE)</f>
        <v>No</v>
      </c>
      <c r="AF33" s="130">
        <f t="shared" si="3"/>
        <v>0</v>
      </c>
      <c r="AG33" s="129">
        <f t="shared" si="4"/>
        <v>0</v>
      </c>
    </row>
    <row r="34" spans="1:33" x14ac:dyDescent="0.25">
      <c r="A34" s="10">
        <v>0</v>
      </c>
      <c r="B34" s="15">
        <v>60076</v>
      </c>
      <c r="C34" s="16" t="s">
        <v>338</v>
      </c>
      <c r="D34" s="96" t="s">
        <v>339</v>
      </c>
      <c r="E34" s="96" t="s">
        <v>289</v>
      </c>
      <c r="F34" s="152" t="str">
        <f>VLOOKUP($B34,Characteristics!$A$2:$K$86,11,FALSE)</f>
        <v>SCH</v>
      </c>
      <c r="G34" s="213">
        <f>VLOOKUP($B34,Characteristics!$A$2:$K$86,3,FALSE)</f>
        <v>1</v>
      </c>
      <c r="H34" s="96"/>
      <c r="I34" s="96"/>
      <c r="J34" s="15">
        <v>60076</v>
      </c>
      <c r="K34" s="120" t="str">
        <f>IFERROR(VLOOKUP(C34,'FY25 IMPACT FILE IFC-OTHER TBLS'!$A$3:$BN$52,63,FALSE),"NA")</f>
        <v>00</v>
      </c>
      <c r="L34" s="18"/>
      <c r="M34" s="119">
        <f>IF(AND(N34&lt;=1,K34=0),'FY 2025 IFC Table 1A-1E'!$C$4,'FY 2025 IFC Table 1A-1E'!$B$4)</f>
        <v>4478.09</v>
      </c>
      <c r="N34" s="120">
        <f>IFERROR(VLOOKUP($C34,'FY25 IMPACT FILE IFC-OTHER TBLS'!$A$3:$BJ$52,12,FALSE),1)</f>
        <v>1.0083</v>
      </c>
      <c r="O34" s="119">
        <f>IF(N34&lt;=1,'FY 2025 IFC Table 1A-1E'!$C$5,'FY 2025 IFC Table 1A-1E'!$B$5)</f>
        <v>2146.3000000000002</v>
      </c>
      <c r="P34" s="119">
        <f t="shared" si="0"/>
        <v>6661.5581470000006</v>
      </c>
      <c r="Q34" s="150">
        <f>'FY 2025 IFC Table 1A-1E'!$B$33</f>
        <v>512.14</v>
      </c>
      <c r="R34" s="120">
        <f>IFERROR(VLOOKUP(C34,'FY25 IMPACT FILE IFC-OTHER TBLS'!$A$3:$BJ$52,48,FALSE),1)</f>
        <v>1.0056764320069</v>
      </c>
      <c r="S34" s="119">
        <f t="shared" si="5"/>
        <v>515.04712788801373</v>
      </c>
      <c r="T34" s="121">
        <f t="shared" si="6"/>
        <v>7176.6052748880147</v>
      </c>
      <c r="U34" s="367">
        <f>IFERROR(VLOOKUP($C34,'GME Add-On Posting'!$A$8:$Q$30,17,FALSE),0)</f>
        <v>0</v>
      </c>
      <c r="V34" s="125">
        <f>IFERROR(VLOOKUP(C34,'FY25 IMPACT FILE IFC-OTHER TBLS'!$A$3:$BJ$55,23,FALSE),0)</f>
        <v>0</v>
      </c>
      <c r="W34" s="125">
        <f>IFERROR(VLOOKUP(C34,'FY25 IMPACT FILE IFC-OTHER TBLS'!$A$3:$BJ$55,24,FALSE),0)</f>
        <v>0</v>
      </c>
      <c r="X34" s="119">
        <f t="shared" si="1"/>
        <v>0</v>
      </c>
      <c r="Y34" s="119">
        <f t="shared" si="2"/>
        <v>0</v>
      </c>
      <c r="Z34" s="126">
        <f t="shared" si="7"/>
        <v>0</v>
      </c>
      <c r="AA34" s="473">
        <f>VLOOKUP(C34,'FY25 IMPACT FILE IFC-OTHER TBLS'!A32:BN83,66,FALSE)</f>
        <v>1.0134122928</v>
      </c>
      <c r="AB34" s="127">
        <f t="shared" si="8"/>
        <v>89.346768371789466</v>
      </c>
      <c r="AC34" s="124">
        <f>VLOOKUP(C34,'FY25 IMPACT FILE IFC-OTHER TBLS'!A32:BN83,65,FALSE)</f>
        <v>0.99939999999999996</v>
      </c>
      <c r="AD34" s="127">
        <f t="shared" si="9"/>
        <v>-3.9969348882003</v>
      </c>
      <c r="AE34" s="10" t="str">
        <f>VLOOKUP(C34,'FY25 IMPACT FILE IFC-OTHER TBLS'!A32:BL83,64,FALSE)</f>
        <v>No</v>
      </c>
      <c r="AF34" s="130">
        <f t="shared" si="3"/>
        <v>0</v>
      </c>
      <c r="AG34" s="129">
        <f t="shared" si="4"/>
        <v>0</v>
      </c>
    </row>
    <row r="35" spans="1:33" x14ac:dyDescent="0.25">
      <c r="A35" s="10">
        <v>0</v>
      </c>
      <c r="B35" s="15">
        <v>60096</v>
      </c>
      <c r="C35" s="16" t="s">
        <v>340</v>
      </c>
      <c r="D35" s="96" t="s">
        <v>341</v>
      </c>
      <c r="E35" s="96" t="s">
        <v>240</v>
      </c>
      <c r="F35" s="152" t="str">
        <f>VLOOKUP($B35,Characteristics!$A$2:$K$86,11,FALSE)</f>
        <v>SCH</v>
      </c>
      <c r="G35" s="213">
        <f>VLOOKUP($B35,Characteristics!$A$2:$K$86,3,FALSE)</f>
        <v>1</v>
      </c>
      <c r="H35" s="96"/>
      <c r="I35" s="96"/>
      <c r="J35" s="15">
        <v>60096</v>
      </c>
      <c r="K35" s="120" t="str">
        <f>IFERROR(VLOOKUP(C35,'FY25 IMPACT FILE IFC-OTHER TBLS'!$A$3:$BN$52,63,FALSE),"NA")</f>
        <v>00</v>
      </c>
      <c r="L35" s="18"/>
      <c r="M35" s="119">
        <f>IF(AND(N35&lt;=1,K35=0),'FY 2025 IFC Table 1A-1E'!$C$4,'FY 2025 IFC Table 1A-1E'!$B$4)</f>
        <v>4478.09</v>
      </c>
      <c r="N35" s="120">
        <f>IFERROR(VLOOKUP($C35,'FY25 IMPACT FILE IFC-OTHER TBLS'!$A$3:$BJ$52,12,FALSE),1)</f>
        <v>1.0083</v>
      </c>
      <c r="O35" s="119">
        <f>IF(N35&lt;=1,'FY 2025 IFC Table 1A-1E'!$C$5,'FY 2025 IFC Table 1A-1E'!$B$5)</f>
        <v>2146.3000000000002</v>
      </c>
      <c r="P35" s="119">
        <f t="shared" si="0"/>
        <v>6661.5581470000006</v>
      </c>
      <c r="Q35" s="150">
        <f>'FY 2025 IFC Table 1A-1E'!$B$33</f>
        <v>512.14</v>
      </c>
      <c r="R35" s="120">
        <f>IFERROR(VLOOKUP(C35,'FY25 IMPACT FILE IFC-OTHER TBLS'!$A$3:$BJ$52,48,FALSE),1)</f>
        <v>1.0056764320069</v>
      </c>
      <c r="S35" s="119">
        <f t="shared" si="5"/>
        <v>515.04712788801373</v>
      </c>
      <c r="T35" s="121">
        <f t="shared" si="6"/>
        <v>7176.6052748880147</v>
      </c>
      <c r="U35" s="367">
        <f>IFERROR(VLOOKUP($C35,'GME Add-On Posting'!$A$8:$Q$30,17,FALSE),0)</f>
        <v>0</v>
      </c>
      <c r="V35" s="539">
        <f>IFERROR(VLOOKUP(C35,'FY25 IMPACT FILE IFC-OTHER TBLS'!$A$3:$BJ$55,23,FALSE),0)</f>
        <v>0</v>
      </c>
      <c r="W35" s="125">
        <f>IFERROR(VLOOKUP(C35,'FY25 IMPACT FILE IFC-OTHER TBLS'!$A$3:$BJ$55,24,FALSE),0)</f>
        <v>0</v>
      </c>
      <c r="X35" s="119">
        <f t="shared" si="1"/>
        <v>0</v>
      </c>
      <c r="Y35" s="119">
        <f t="shared" si="2"/>
        <v>0</v>
      </c>
      <c r="Z35" s="126">
        <f t="shared" si="7"/>
        <v>0</v>
      </c>
      <c r="AA35" s="473">
        <f>VLOOKUP(C35,'FY25 IMPACT FILE IFC-OTHER TBLS'!A33:BN84,66,FALSE)</f>
        <v>1.0102798903000001</v>
      </c>
      <c r="AB35" s="127">
        <f t="shared" si="8"/>
        <v>68.48008697823191</v>
      </c>
      <c r="AC35" s="124">
        <f>VLOOKUP(C35,'FY25 IMPACT FILE IFC-OTHER TBLS'!A33:BN84,65,FALSE)</f>
        <v>1</v>
      </c>
      <c r="AD35" s="127">
        <f t="shared" si="9"/>
        <v>0</v>
      </c>
      <c r="AE35" s="10" t="str">
        <f>VLOOKUP(C35,'FY25 IMPACT FILE IFC-OTHER TBLS'!A33:BL84,64,FALSE)</f>
        <v>No</v>
      </c>
      <c r="AF35" s="130">
        <f t="shared" si="3"/>
        <v>0</v>
      </c>
      <c r="AG35" s="129">
        <f t="shared" si="4"/>
        <v>0</v>
      </c>
    </row>
    <row r="36" spans="1:33" x14ac:dyDescent="0.25">
      <c r="A36" s="10">
        <v>1</v>
      </c>
      <c r="B36" s="15">
        <v>60100</v>
      </c>
      <c r="C36" s="16" t="s">
        <v>156</v>
      </c>
      <c r="D36" s="96" t="s">
        <v>342</v>
      </c>
      <c r="E36" s="96" t="s">
        <v>310</v>
      </c>
      <c r="F36" s="152" t="str">
        <f>VLOOKUP($B36,Characteristics!$A$2:$K$86,11,FALSE)</f>
        <v xml:space="preserve"> </v>
      </c>
      <c r="G36" s="213">
        <f>VLOOKUP($B36,Characteristics!$A$2:$K$86,3,FALSE)</f>
        <v>0</v>
      </c>
      <c r="H36" s="96"/>
      <c r="I36" s="96"/>
      <c r="J36" s="15">
        <v>60100</v>
      </c>
      <c r="K36" s="120" t="str">
        <f>IFERROR(VLOOKUP(C36,'FY25 IMPACT FILE IFC-OTHER TBLS'!$A$3:$BN$52,63,FALSE),"NA")</f>
        <v>00</v>
      </c>
      <c r="L36" s="18"/>
      <c r="M36" s="119">
        <f>IF(AND(N36&lt;=1,K36=0),'FY 2025 IFC Table 1A-1E'!$C$4,'FY 2025 IFC Table 1A-1E'!$B$4)</f>
        <v>4478.09</v>
      </c>
      <c r="N36" s="120">
        <f>IFERROR(VLOOKUP($C36,'FY25 IMPACT FILE IFC-OTHER TBLS'!$A$3:$BJ$52,12,FALSE),1)</f>
        <v>1.0083</v>
      </c>
      <c r="O36" s="119">
        <f>IF(N36&lt;=1,'FY 2025 IFC Table 1A-1E'!$C$5,'FY 2025 IFC Table 1A-1E'!$B$5)</f>
        <v>2146.3000000000002</v>
      </c>
      <c r="P36" s="119">
        <f t="shared" si="0"/>
        <v>6661.5581470000006</v>
      </c>
      <c r="Q36" s="150">
        <f>'FY 2025 IFC Table 1A-1E'!$B$33</f>
        <v>512.14</v>
      </c>
      <c r="R36" s="120">
        <f>IFERROR(VLOOKUP(C36,'FY25 IMPACT FILE IFC-OTHER TBLS'!$A$3:$BJ$52,48,FALSE),1)</f>
        <v>1.0056764320069</v>
      </c>
      <c r="S36" s="119">
        <f t="shared" si="5"/>
        <v>515.04712788801373</v>
      </c>
      <c r="T36" s="121">
        <f t="shared" si="6"/>
        <v>7176.6052748880147</v>
      </c>
      <c r="U36" s="538">
        <f>IFERROR(VLOOKUP($C36,'GME Add-On Posting'!$A$8:$Q$30,17,FALSE),0)</f>
        <v>31.227117186834239</v>
      </c>
      <c r="V36" s="537">
        <v>5.6120999999999997E-2</v>
      </c>
      <c r="W36" s="536">
        <v>4.9350999999999999E-2</v>
      </c>
      <c r="X36" s="119">
        <f t="shared" si="1"/>
        <v>373.85330476778699</v>
      </c>
      <c r="Y36" s="119">
        <f t="shared" si="2"/>
        <v>25.418090808401367</v>
      </c>
      <c r="Z36" s="126">
        <f t="shared" si="7"/>
        <v>399.27139557618835</v>
      </c>
      <c r="AA36" s="473">
        <f>VLOOKUP(C36,'FY25 IMPACT FILE IFC-OTHER TBLS'!A34:BN85,66,FALSE)</f>
        <v>0.99446871609999998</v>
      </c>
      <c r="AB36" s="127">
        <f t="shared" si="8"/>
        <v>-36.846969327415053</v>
      </c>
      <c r="AC36" s="124">
        <f>VLOOKUP(C36,'FY25 IMPACT FILE IFC-OTHER TBLS'!A34:BN85,65,FALSE)</f>
        <v>0.999</v>
      </c>
      <c r="AD36" s="127">
        <f t="shared" si="9"/>
        <v>-6.6615581470000063</v>
      </c>
      <c r="AE36" s="10" t="str">
        <f>VLOOKUP(C36,'FY25 IMPACT FILE IFC-OTHER TBLS'!A34:BL85,64,FALSE)</f>
        <v>No</v>
      </c>
      <c r="AF36" s="130">
        <f t="shared" si="3"/>
        <v>0</v>
      </c>
      <c r="AG36" s="129">
        <f t="shared" si="4"/>
        <v>0</v>
      </c>
    </row>
    <row r="37" spans="1:33" x14ac:dyDescent="0.25">
      <c r="A37" s="10">
        <v>1</v>
      </c>
      <c r="B37" s="15">
        <v>60103</v>
      </c>
      <c r="C37" s="16" t="s">
        <v>343</v>
      </c>
      <c r="D37" s="96" t="s">
        <v>344</v>
      </c>
      <c r="E37" s="96" t="s">
        <v>332</v>
      </c>
      <c r="F37" s="152" t="str">
        <f>VLOOKUP($B37,Characteristics!$A$2:$K$86,11,FALSE)</f>
        <v xml:space="preserve"> </v>
      </c>
      <c r="G37" s="213">
        <f>VLOOKUP($B37,Characteristics!$A$2:$K$86,3,FALSE)</f>
        <v>0</v>
      </c>
      <c r="H37" s="96"/>
      <c r="I37" s="96"/>
      <c r="J37" s="15">
        <v>60103</v>
      </c>
      <c r="K37" s="120" t="str">
        <f>IFERROR(VLOOKUP(C37,'FY25 IMPACT FILE IFC-OTHER TBLS'!$A$3:$BN$52,63,FALSE),"NA")</f>
        <v>00</v>
      </c>
      <c r="L37" s="18"/>
      <c r="M37" s="119">
        <f>IF(AND(N37&lt;=1,K37=0),'FY 2025 IFC Table 1A-1E'!$C$4,'FY 2025 IFC Table 1A-1E'!$B$4)</f>
        <v>4478.09</v>
      </c>
      <c r="N37" s="120">
        <f>IFERROR(VLOOKUP($C37,'FY25 IMPACT FILE IFC-OTHER TBLS'!$A$3:$BJ$52,12,FALSE),1)</f>
        <v>1.0083</v>
      </c>
      <c r="O37" s="119">
        <f>IF(N37&lt;=1,'FY 2025 IFC Table 1A-1E'!$C$5,'FY 2025 IFC Table 1A-1E'!$B$5)</f>
        <v>2146.3000000000002</v>
      </c>
      <c r="P37" s="119">
        <f t="shared" si="0"/>
        <v>6661.5581470000006</v>
      </c>
      <c r="Q37" s="150">
        <f>'FY 2025 IFC Table 1A-1E'!$B$33</f>
        <v>512.14</v>
      </c>
      <c r="R37" s="120">
        <f>IFERROR(VLOOKUP(C37,'FY25 IMPACT FILE IFC-OTHER TBLS'!$A$3:$BJ$52,48,FALSE),1)</f>
        <v>1.0056764320069</v>
      </c>
      <c r="S37" s="119">
        <f t="shared" si="5"/>
        <v>515.04712788801373</v>
      </c>
      <c r="T37" s="121">
        <f t="shared" si="6"/>
        <v>7176.6052748880147</v>
      </c>
      <c r="U37" s="367">
        <f>IFERROR(VLOOKUP($C37,'GME Add-On Posting'!$A$8:$Q$30,17,FALSE),0)</f>
        <v>0</v>
      </c>
      <c r="V37" s="540">
        <f>IFERROR(VLOOKUP(C37,'FY25 IMPACT FILE IFC-OTHER TBLS'!$A$3:$BJ$55,23,FALSE),0)</f>
        <v>0</v>
      </c>
      <c r="W37" s="125">
        <f>IFERROR(VLOOKUP(C37,'FY25 IMPACT FILE IFC-OTHER TBLS'!$A$3:$BJ$55,24,FALSE),0)</f>
        <v>0</v>
      </c>
      <c r="X37" s="119">
        <f t="shared" ref="X37:X69" si="10">IFERROR((P37*V37),0)</f>
        <v>0</v>
      </c>
      <c r="Y37" s="119">
        <f t="shared" ref="Y37:Y69" si="11">IFERROR(S37*W37,0)</f>
        <v>0</v>
      </c>
      <c r="Z37" s="126">
        <f t="shared" si="7"/>
        <v>0</v>
      </c>
      <c r="AA37" s="473">
        <f>VLOOKUP(C37,'FY25 IMPACT FILE IFC-OTHER TBLS'!A35:BN86,66,FALSE)</f>
        <v>1.0106527954</v>
      </c>
      <c r="AB37" s="127">
        <f t="shared" si="8"/>
        <v>70.964215985193931</v>
      </c>
      <c r="AC37" s="124">
        <f>VLOOKUP(C37,'FY25 IMPACT FILE IFC-OTHER TBLS'!A35:BN86,65,FALSE)</f>
        <v>1</v>
      </c>
      <c r="AD37" s="127">
        <f t="shared" si="9"/>
        <v>0</v>
      </c>
      <c r="AE37" s="10" t="str">
        <f>VLOOKUP(C37,'FY25 IMPACT FILE IFC-OTHER TBLS'!A35:BL86,64,FALSE)</f>
        <v>No</v>
      </c>
      <c r="AF37" s="130">
        <f t="shared" si="3"/>
        <v>0</v>
      </c>
      <c r="AG37" s="129">
        <f t="shared" ref="AG37:AG69" si="12">T37*AF37</f>
        <v>0</v>
      </c>
    </row>
    <row r="38" spans="1:33" x14ac:dyDescent="0.25">
      <c r="A38" s="10">
        <v>1</v>
      </c>
      <c r="B38" s="15">
        <v>60104</v>
      </c>
      <c r="C38" s="16" t="s">
        <v>157</v>
      </c>
      <c r="D38" s="96" t="s">
        <v>345</v>
      </c>
      <c r="E38" s="96" t="s">
        <v>292</v>
      </c>
      <c r="F38" s="152" t="str">
        <f>VLOOKUP($B38,Characteristics!$A$2:$K$86,11,FALSE)</f>
        <v xml:space="preserve"> </v>
      </c>
      <c r="G38" s="213">
        <f>VLOOKUP($B38,Characteristics!$A$2:$K$86,3,FALSE)</f>
        <v>0</v>
      </c>
      <c r="H38" s="96"/>
      <c r="I38" s="96"/>
      <c r="J38" s="15">
        <v>60104</v>
      </c>
      <c r="K38" s="120" t="str">
        <f>IFERROR(VLOOKUP(C38,'FY25 IMPACT FILE IFC-OTHER TBLS'!$A$3:$BN$52,63,FALSE),"NA")</f>
        <v>00</v>
      </c>
      <c r="L38" s="18"/>
      <c r="M38" s="119">
        <f>IF(AND(N38&lt;=1,K38=0),'FY 2025 IFC Table 1A-1E'!$C$4,'FY 2025 IFC Table 1A-1E'!$B$4)</f>
        <v>4478.09</v>
      </c>
      <c r="N38" s="120">
        <f>IFERROR(VLOOKUP($C38,'FY25 IMPACT FILE IFC-OTHER TBLS'!$A$3:$BJ$52,12,FALSE),1)</f>
        <v>1.0083</v>
      </c>
      <c r="O38" s="119">
        <f>IF(N38&lt;=1,'FY 2025 IFC Table 1A-1E'!$C$5,'FY 2025 IFC Table 1A-1E'!$B$5)</f>
        <v>2146.3000000000002</v>
      </c>
      <c r="P38" s="119">
        <f t="shared" si="0"/>
        <v>6661.5581470000006</v>
      </c>
      <c r="Q38" s="150">
        <f>'FY 2025 IFC Table 1A-1E'!$B$33</f>
        <v>512.14</v>
      </c>
      <c r="R38" s="120">
        <f>IFERROR(VLOOKUP(C38,'FY25 IMPACT FILE IFC-OTHER TBLS'!$A$3:$BJ$52,48,FALSE),1)</f>
        <v>1.0056764320069</v>
      </c>
      <c r="S38" s="119">
        <f t="shared" si="5"/>
        <v>515.04712788801373</v>
      </c>
      <c r="T38" s="121">
        <f t="shared" si="6"/>
        <v>7176.6052748880147</v>
      </c>
      <c r="U38" s="367">
        <f>IFERROR(VLOOKUP($C38,'GME Add-On Posting'!$A$8:$Q$30,17,FALSE),0)</f>
        <v>70.05661213192937</v>
      </c>
      <c r="V38" s="125">
        <f>IFERROR(VLOOKUP(C38,'FY25 IMPACT FILE IFC-OTHER TBLS'!$A$3:$BJ$55,23,FALSE),0)</f>
        <v>0.11579</v>
      </c>
      <c r="W38" s="125">
        <f>IFERROR(VLOOKUP(C38,'FY25 IMPACT FILE IFC-OTHER TBLS'!$A$3:$BJ$55,24,FALSE),0)</f>
        <v>9.7629999999999995E-2</v>
      </c>
      <c r="X38" s="119">
        <f t="shared" si="10"/>
        <v>771.34181784113014</v>
      </c>
      <c r="Y38" s="119">
        <f t="shared" si="11"/>
        <v>50.284051095706779</v>
      </c>
      <c r="Z38" s="126">
        <f t="shared" si="7"/>
        <v>821.62586893683692</v>
      </c>
      <c r="AA38" s="473">
        <f>VLOOKUP(C38,'FY25 IMPACT FILE IFC-OTHER TBLS'!A36:BN87,66,FALSE)</f>
        <v>1.0062898063000001</v>
      </c>
      <c r="AB38" s="127">
        <f t="shared" si="8"/>
        <v>41.899910400817525</v>
      </c>
      <c r="AC38" s="124">
        <f>VLOOKUP(C38,'FY25 IMPACT FILE IFC-OTHER TBLS'!A36:BN87,65,FALSE)</f>
        <v>0.99929999999999997</v>
      </c>
      <c r="AD38" s="127">
        <f t="shared" si="9"/>
        <v>-4.6630907029002264</v>
      </c>
      <c r="AE38" s="10" t="str">
        <f>VLOOKUP(C38,'FY25 IMPACT FILE IFC-OTHER TBLS'!A36:BL87,64,FALSE)</f>
        <v>No</v>
      </c>
      <c r="AF38" s="130">
        <f t="shared" si="3"/>
        <v>0</v>
      </c>
      <c r="AG38" s="129">
        <f t="shared" si="12"/>
        <v>0</v>
      </c>
    </row>
    <row r="39" spans="1:33" x14ac:dyDescent="0.25">
      <c r="A39" s="10">
        <v>1</v>
      </c>
      <c r="B39" s="15">
        <v>60107</v>
      </c>
      <c r="C39" s="16" t="s">
        <v>158</v>
      </c>
      <c r="D39" s="96" t="s">
        <v>346</v>
      </c>
      <c r="E39" s="96" t="s">
        <v>240</v>
      </c>
      <c r="F39" s="152" t="str">
        <f>VLOOKUP($B39,Characteristics!$A$2:$K$86,11,FALSE)</f>
        <v xml:space="preserve"> </v>
      </c>
      <c r="G39" s="213">
        <f>VLOOKUP($B39,Characteristics!$A$2:$K$86,3,FALSE)</f>
        <v>0</v>
      </c>
      <c r="H39" s="96"/>
      <c r="I39" s="96"/>
      <c r="J39" s="15">
        <v>60107</v>
      </c>
      <c r="K39" s="120" t="str">
        <f>IFERROR(VLOOKUP(C39,'FY25 IMPACT FILE IFC-OTHER TBLS'!$A$3:$BN$52,63,FALSE),"NA")</f>
        <v>01</v>
      </c>
      <c r="L39" s="18"/>
      <c r="M39" s="504">
        <f>'FY 2025 IFC Table 1A-1E'!C18</f>
        <v>4367.12</v>
      </c>
      <c r="N39" s="120">
        <f>IFERROR(VLOOKUP($C39,'FY25 IMPACT FILE IFC-OTHER TBLS'!$A$3:$BJ$52,12,FALSE),1)</f>
        <v>1.0083</v>
      </c>
      <c r="O39" s="504">
        <f>'FY 2025 IFC Table 1A-1E'!D18</f>
        <v>2093.11</v>
      </c>
      <c r="P39" s="119">
        <f t="shared" si="0"/>
        <v>6496.4770960000005</v>
      </c>
      <c r="Q39" s="150">
        <f>'FY 2025 IFC Table 1A-1E'!$B$33</f>
        <v>512.14</v>
      </c>
      <c r="R39" s="120">
        <f>IFERROR(VLOOKUP(C39,'FY25 IMPACT FILE IFC-OTHER TBLS'!$A$3:$BJ$52,48,FALSE),1)</f>
        <v>1.0056764320069</v>
      </c>
      <c r="S39" s="119">
        <f t="shared" si="5"/>
        <v>515.04712788801373</v>
      </c>
      <c r="T39" s="121">
        <f t="shared" si="6"/>
        <v>7011.5242238880146</v>
      </c>
      <c r="U39" s="367">
        <f>IFERROR(VLOOKUP($C39,'GME Add-On Posting'!$A$8:$Q$30,17,FALSE),0)</f>
        <v>142.44085103712408</v>
      </c>
      <c r="V39" s="125">
        <f>IFERROR(VLOOKUP(C39,'FY25 IMPACT FILE IFC-OTHER TBLS'!$A$3:$BJ$55,23,FALSE),0)</f>
        <v>0</v>
      </c>
      <c r="W39" s="125">
        <f>IFERROR(VLOOKUP(C39,'FY25 IMPACT FILE IFC-OTHER TBLS'!$A$3:$BJ$55,24,FALSE),0)</f>
        <v>0</v>
      </c>
      <c r="X39" s="119">
        <f t="shared" si="10"/>
        <v>0</v>
      </c>
      <c r="Y39" s="119">
        <f t="shared" si="11"/>
        <v>0</v>
      </c>
      <c r="Z39" s="126">
        <f t="shared" si="7"/>
        <v>0</v>
      </c>
      <c r="AA39" s="473" t="str">
        <f>VLOOKUP(C39,'FY25 IMPACT FILE IFC-OTHER TBLS'!A37:BN88,66,FALSE)</f>
        <v>NA</v>
      </c>
      <c r="AB39" s="127">
        <f t="shared" si="8"/>
        <v>0</v>
      </c>
      <c r="AC39" s="124">
        <f>VLOOKUP(C39,'FY25 IMPACT FILE IFC-OTHER TBLS'!A37:BN88,65,FALSE)</f>
        <v>1</v>
      </c>
      <c r="AD39" s="127">
        <f t="shared" si="9"/>
        <v>0</v>
      </c>
      <c r="AE39" s="10" t="str">
        <f>VLOOKUP(C39,'FY25 IMPACT FILE IFC-OTHER TBLS'!A37:BL88,64,FALSE)</f>
        <v>No</v>
      </c>
      <c r="AF39" s="130">
        <f t="shared" si="3"/>
        <v>0</v>
      </c>
      <c r="AG39" s="129">
        <f t="shared" si="12"/>
        <v>0</v>
      </c>
    </row>
    <row r="40" spans="1:33" x14ac:dyDescent="0.25">
      <c r="A40" s="10">
        <v>1</v>
      </c>
      <c r="B40" s="15">
        <v>60112</v>
      </c>
      <c r="C40" s="16" t="s">
        <v>159</v>
      </c>
      <c r="D40" s="96" t="s">
        <v>347</v>
      </c>
      <c r="E40" s="96" t="s">
        <v>310</v>
      </c>
      <c r="F40" s="152" t="str">
        <f>VLOOKUP($B40,Characteristics!$A$2:$K$86,11,FALSE)</f>
        <v xml:space="preserve"> </v>
      </c>
      <c r="G40" s="213">
        <f>VLOOKUP($B40,Characteristics!$A$2:$K$86,3,FALSE)</f>
        <v>0</v>
      </c>
      <c r="H40" s="96"/>
      <c r="I40" s="96"/>
      <c r="J40" s="15">
        <v>60112</v>
      </c>
      <c r="K40" s="120" t="str">
        <f>IFERROR(VLOOKUP(C40,'FY25 IMPACT FILE IFC-OTHER TBLS'!$A$3:$BN$52,63,FALSE),"NA")</f>
        <v>00</v>
      </c>
      <c r="L40" s="18"/>
      <c r="M40" s="119">
        <f>IF(AND(N40&lt;=1,K40=0),'FY 2025 IFC Table 1A-1E'!$C$4,'FY 2025 IFC Table 1A-1E'!$B$4)</f>
        <v>4478.09</v>
      </c>
      <c r="N40" s="120">
        <f>IFERROR(VLOOKUP($C40,'FY25 IMPACT FILE IFC-OTHER TBLS'!$A$3:$BJ$52,12,FALSE),1)</f>
        <v>1.0083</v>
      </c>
      <c r="O40" s="119">
        <f>IF(N40&lt;=1,'FY 2025 IFC Table 1A-1E'!$C$5,'FY 2025 IFC Table 1A-1E'!$B$5)</f>
        <v>2146.3000000000002</v>
      </c>
      <c r="P40" s="119">
        <f t="shared" si="0"/>
        <v>6661.5581470000006</v>
      </c>
      <c r="Q40" s="150">
        <f>'FY 2025 IFC Table 1A-1E'!$B$33</f>
        <v>512.14</v>
      </c>
      <c r="R40" s="120">
        <f>IFERROR(VLOOKUP(C40,'FY25 IMPACT FILE IFC-OTHER TBLS'!$A$3:$BJ$52,48,FALSE),1)</f>
        <v>1.0056764320069</v>
      </c>
      <c r="S40" s="119">
        <f t="shared" si="5"/>
        <v>515.04712788801373</v>
      </c>
      <c r="T40" s="121">
        <f t="shared" si="6"/>
        <v>7176.6052748880147</v>
      </c>
      <c r="U40" s="367">
        <f>IFERROR(VLOOKUP($C40,'GME Add-On Posting'!$A$8:$Q$30,17,FALSE),0)</f>
        <v>80.386682215446456</v>
      </c>
      <c r="V40" s="125">
        <f>IFERROR(VLOOKUP(C40,'FY25 IMPACT FILE IFC-OTHER TBLS'!$A$3:$BJ$55,23,FALSE),0)</f>
        <v>0.14999000000000001</v>
      </c>
      <c r="W40" s="125">
        <f>IFERROR(VLOOKUP(C40,'FY25 IMPACT FILE IFC-OTHER TBLS'!$A$3:$BJ$55,24,FALSE),0)</f>
        <v>0.1469</v>
      </c>
      <c r="X40" s="119">
        <f t="shared" si="10"/>
        <v>999.16710646853016</v>
      </c>
      <c r="Y40" s="119">
        <f t="shared" si="11"/>
        <v>75.660423086749219</v>
      </c>
      <c r="Z40" s="126">
        <f t="shared" si="7"/>
        <v>1074.8275295552794</v>
      </c>
      <c r="AA40" s="473">
        <f>VLOOKUP(C40,'FY25 IMPACT FILE IFC-OTHER TBLS'!A38:BN89,66,FALSE)</f>
        <v>1.0005843590000001</v>
      </c>
      <c r="AB40" s="127">
        <f t="shared" si="8"/>
        <v>3.8927414572233716</v>
      </c>
      <c r="AC40" s="124">
        <f>VLOOKUP(C40,'FY25 IMPACT FILE IFC-OTHER TBLS'!A38:BN89,65,FALSE)</f>
        <v>0.99739999999999995</v>
      </c>
      <c r="AD40" s="127">
        <f t="shared" si="9"/>
        <v>-17.320051182200313</v>
      </c>
      <c r="AE40" s="10" t="str">
        <f>VLOOKUP(C40,'FY25 IMPACT FILE IFC-OTHER TBLS'!A38:BL89,64,FALSE)</f>
        <v>No</v>
      </c>
      <c r="AF40" s="130">
        <f t="shared" si="3"/>
        <v>0</v>
      </c>
      <c r="AG40" s="129">
        <f t="shared" si="12"/>
        <v>0</v>
      </c>
    </row>
    <row r="41" spans="1:33" x14ac:dyDescent="0.25">
      <c r="A41" s="10">
        <v>1</v>
      </c>
      <c r="B41" s="15">
        <v>60113</v>
      </c>
      <c r="C41" s="16" t="s">
        <v>348</v>
      </c>
      <c r="D41" s="96" t="s">
        <v>349</v>
      </c>
      <c r="E41" s="96" t="s">
        <v>332</v>
      </c>
      <c r="F41" s="152" t="str">
        <f>VLOOKUP($B41,Characteristics!$A$2:$K$86,11,FALSE)</f>
        <v xml:space="preserve"> </v>
      </c>
      <c r="G41" s="213">
        <f>VLOOKUP($B41,Characteristics!$A$2:$K$86,3,FALSE)</f>
        <v>0</v>
      </c>
      <c r="H41" s="96"/>
      <c r="I41" s="96"/>
      <c r="J41" s="15">
        <v>60113</v>
      </c>
      <c r="K41" s="120" t="str">
        <f>IFERROR(VLOOKUP(C41,'FY25 IMPACT FILE IFC-OTHER TBLS'!$A$3:$BN$52,63,FALSE),"NA")</f>
        <v>00</v>
      </c>
      <c r="L41" s="18"/>
      <c r="M41" s="119">
        <f>IF(AND(N41&lt;=1,K41=0),'FY 2025 IFC Table 1A-1E'!$C$4,'FY 2025 IFC Table 1A-1E'!$B$4)</f>
        <v>4478.09</v>
      </c>
      <c r="N41" s="120">
        <f>IFERROR(VLOOKUP($C41,'FY25 IMPACT FILE IFC-OTHER TBLS'!$A$3:$BJ$52,12,FALSE),1)</f>
        <v>1.0083</v>
      </c>
      <c r="O41" s="119">
        <f>IF(N41&lt;=1,'FY 2025 IFC Table 1A-1E'!$C$5,'FY 2025 IFC Table 1A-1E'!$B$5)</f>
        <v>2146.3000000000002</v>
      </c>
      <c r="P41" s="119">
        <f t="shared" si="0"/>
        <v>6661.5581470000006</v>
      </c>
      <c r="Q41" s="150">
        <f>'FY 2025 IFC Table 1A-1E'!$B$33</f>
        <v>512.14</v>
      </c>
      <c r="R41" s="120">
        <f>IFERROR(VLOOKUP(C41,'FY25 IMPACT FILE IFC-OTHER TBLS'!$A$3:$BJ$52,48,FALSE),1)</f>
        <v>1.0056764320069</v>
      </c>
      <c r="S41" s="119">
        <f t="shared" si="5"/>
        <v>515.04712788801373</v>
      </c>
      <c r="T41" s="121">
        <f t="shared" si="6"/>
        <v>7176.6052748880147</v>
      </c>
      <c r="U41" s="367">
        <f>IFERROR(VLOOKUP($C41,'GME Add-On Posting'!$A$8:$Q$30,17,FALSE),0)</f>
        <v>0</v>
      </c>
      <c r="V41" s="125">
        <f>IFERROR(VLOOKUP(C41,'FY25 IMPACT FILE IFC-OTHER TBLS'!$A$3:$BJ$55,23,FALSE),0)</f>
        <v>0</v>
      </c>
      <c r="W41" s="125">
        <f>IFERROR(VLOOKUP(C41,'FY25 IMPACT FILE IFC-OTHER TBLS'!$A$3:$BJ$55,24,FALSE),0)</f>
        <v>0</v>
      </c>
      <c r="X41" s="119">
        <f t="shared" si="10"/>
        <v>0</v>
      </c>
      <c r="Y41" s="119">
        <f t="shared" si="11"/>
        <v>0</v>
      </c>
      <c r="Z41" s="126">
        <f t="shared" si="7"/>
        <v>0</v>
      </c>
      <c r="AA41" s="473">
        <f>VLOOKUP(C41,'FY25 IMPACT FILE IFC-OTHER TBLS'!A39:BN90,66,FALSE)</f>
        <v>1.0021505602</v>
      </c>
      <c r="AB41" s="127">
        <f t="shared" si="8"/>
        <v>14.326081820924218</v>
      </c>
      <c r="AC41" s="124">
        <f>VLOOKUP(C41,'FY25 IMPACT FILE IFC-OTHER TBLS'!A39:BN90,65,FALSE)</f>
        <v>0.99609999999999999</v>
      </c>
      <c r="AD41" s="127">
        <f t="shared" si="9"/>
        <v>-25.980076773300098</v>
      </c>
      <c r="AE41" s="10" t="str">
        <f>VLOOKUP(C41,'FY25 IMPACT FILE IFC-OTHER TBLS'!A39:BL90,64,FALSE)</f>
        <v>No</v>
      </c>
      <c r="AF41" s="130">
        <f t="shared" si="3"/>
        <v>0</v>
      </c>
      <c r="AG41" s="129">
        <f t="shared" si="12"/>
        <v>0</v>
      </c>
    </row>
    <row r="42" spans="1:33" x14ac:dyDescent="0.25">
      <c r="A42" s="10">
        <v>1</v>
      </c>
      <c r="B42" s="15">
        <v>60114</v>
      </c>
      <c r="C42" s="16" t="s">
        <v>350</v>
      </c>
      <c r="D42" s="96" t="s">
        <v>351</v>
      </c>
      <c r="E42" s="96" t="s">
        <v>332</v>
      </c>
      <c r="F42" s="152" t="str">
        <f>VLOOKUP($B42,Characteristics!$A$2:$K$86,11,FALSE)</f>
        <v xml:space="preserve"> </v>
      </c>
      <c r="G42" s="213">
        <f>VLOOKUP($B42,Characteristics!$A$2:$K$86,3,FALSE)</f>
        <v>0</v>
      </c>
      <c r="H42" s="96"/>
      <c r="I42" s="96"/>
      <c r="J42" s="15">
        <v>60114</v>
      </c>
      <c r="K42" s="120" t="str">
        <f>IFERROR(VLOOKUP(C42,'FY25 IMPACT FILE IFC-OTHER TBLS'!$A$3:$BN$52,63,FALSE),"NA")</f>
        <v>00</v>
      </c>
      <c r="L42" s="18"/>
      <c r="M42" s="119">
        <f>IF(AND(N42&lt;=1,K42=0),'FY 2025 IFC Table 1A-1E'!$C$4,'FY 2025 IFC Table 1A-1E'!$B$4)</f>
        <v>4478.09</v>
      </c>
      <c r="N42" s="120">
        <f>IFERROR(VLOOKUP($C42,'FY25 IMPACT FILE IFC-OTHER TBLS'!$A$3:$BJ$52,12,FALSE),1)</f>
        <v>1.0083</v>
      </c>
      <c r="O42" s="119">
        <f>IF(N42&lt;=1,'FY 2025 IFC Table 1A-1E'!$C$5,'FY 2025 IFC Table 1A-1E'!$B$5)</f>
        <v>2146.3000000000002</v>
      </c>
      <c r="P42" s="119">
        <f t="shared" si="0"/>
        <v>6661.5581470000006</v>
      </c>
      <c r="Q42" s="150">
        <f>'FY 2025 IFC Table 1A-1E'!$B$33</f>
        <v>512.14</v>
      </c>
      <c r="R42" s="120">
        <f>IFERROR(VLOOKUP(C42,'FY25 IMPACT FILE IFC-OTHER TBLS'!$A$3:$BJ$52,48,FALSE),1)</f>
        <v>1.0056764320069</v>
      </c>
      <c r="S42" s="119">
        <f t="shared" si="5"/>
        <v>515.04712788801373</v>
      </c>
      <c r="T42" s="121">
        <f t="shared" si="6"/>
        <v>7176.6052748880147</v>
      </c>
      <c r="U42" s="367">
        <f>IFERROR(VLOOKUP($C42,'GME Add-On Posting'!$A$8:$Q$30,17,FALSE),0)</f>
        <v>0</v>
      </c>
      <c r="V42" s="125">
        <f>IFERROR(VLOOKUP(C42,'FY25 IMPACT FILE IFC-OTHER TBLS'!$A$3:$BJ$55,23,FALSE),0)</f>
        <v>0</v>
      </c>
      <c r="W42" s="125">
        <f>IFERROR(VLOOKUP(C42,'FY25 IMPACT FILE IFC-OTHER TBLS'!$A$3:$BJ$55,24,FALSE),0)</f>
        <v>0</v>
      </c>
      <c r="X42" s="119">
        <f t="shared" si="10"/>
        <v>0</v>
      </c>
      <c r="Y42" s="119">
        <f t="shared" si="11"/>
        <v>0</v>
      </c>
      <c r="Z42" s="126">
        <f t="shared" si="7"/>
        <v>0</v>
      </c>
      <c r="AA42" s="473">
        <f>VLOOKUP(C42,'FY25 IMPACT FILE IFC-OTHER TBLS'!A40:BN91,66,FALSE)</f>
        <v>1.0057304487000001</v>
      </c>
      <c r="AB42" s="127">
        <f t="shared" si="8"/>
        <v>38.173717223450943</v>
      </c>
      <c r="AC42" s="124">
        <f>VLOOKUP(C42,'FY25 IMPACT FILE IFC-OTHER TBLS'!A40:BN91,65,FALSE)</f>
        <v>1</v>
      </c>
      <c r="AD42" s="127">
        <f t="shared" si="9"/>
        <v>0</v>
      </c>
      <c r="AE42" s="10" t="str">
        <f>VLOOKUP(C42,'FY25 IMPACT FILE IFC-OTHER TBLS'!A40:BL91,64,FALSE)</f>
        <v>No</v>
      </c>
      <c r="AF42" s="130">
        <f t="shared" si="3"/>
        <v>0</v>
      </c>
      <c r="AG42" s="129">
        <f t="shared" si="12"/>
        <v>0</v>
      </c>
    </row>
    <row r="43" spans="1:33" x14ac:dyDescent="0.25">
      <c r="A43" s="10">
        <v>1</v>
      </c>
      <c r="B43" s="15">
        <v>60116</v>
      </c>
      <c r="C43" s="16" t="s">
        <v>352</v>
      </c>
      <c r="D43" s="96" t="s">
        <v>353</v>
      </c>
      <c r="E43" s="96" t="s">
        <v>295</v>
      </c>
      <c r="F43" s="152" t="str">
        <f>VLOOKUP($B43,Characteristics!$A$2:$K$86,11,FALSE)</f>
        <v xml:space="preserve"> </v>
      </c>
      <c r="G43" s="213">
        <f>VLOOKUP($B43,Characteristics!$A$2:$K$86,3,FALSE)</f>
        <v>0</v>
      </c>
      <c r="H43" s="96"/>
      <c r="I43" s="96"/>
      <c r="J43" s="15">
        <v>60116</v>
      </c>
      <c r="K43" s="120" t="str">
        <f>IFERROR(VLOOKUP(C43,'FY25 IMPACT FILE IFC-OTHER TBLS'!$A$3:$BN$52,63,FALSE),"NA")</f>
        <v>00</v>
      </c>
      <c r="L43" s="18"/>
      <c r="M43" s="119">
        <f>IF(AND(N43&lt;=1,K43=0),'FY 2025 IFC Table 1A-1E'!$C$4,'FY 2025 IFC Table 1A-1E'!$B$4)</f>
        <v>4478.09</v>
      </c>
      <c r="N43" s="120">
        <f>IFERROR(VLOOKUP($C43,'FY25 IMPACT FILE IFC-OTHER TBLS'!$A$3:$BJ$52,12,FALSE),1)</f>
        <v>1.0083</v>
      </c>
      <c r="O43" s="119">
        <f>IF(N43&lt;=1,'FY 2025 IFC Table 1A-1E'!$C$5,'FY 2025 IFC Table 1A-1E'!$B$5)</f>
        <v>2146.3000000000002</v>
      </c>
      <c r="P43" s="119">
        <f t="shared" si="0"/>
        <v>6661.5581470000006</v>
      </c>
      <c r="Q43" s="150">
        <f>'FY 2025 IFC Table 1A-1E'!$B$33</f>
        <v>512.14</v>
      </c>
      <c r="R43" s="120">
        <f>IFERROR(VLOOKUP(C43,'FY25 IMPACT FILE IFC-OTHER TBLS'!$A$3:$BJ$52,48,FALSE),1)</f>
        <v>1.0056764320069</v>
      </c>
      <c r="S43" s="119">
        <f t="shared" si="5"/>
        <v>515.04712788801373</v>
      </c>
      <c r="T43" s="121">
        <f t="shared" si="6"/>
        <v>7176.6052748880147</v>
      </c>
      <c r="U43" s="367">
        <f>IFERROR(VLOOKUP($C43,'GME Add-On Posting'!$A$8:$Q$30,17,FALSE),0)</f>
        <v>0</v>
      </c>
      <c r="V43" s="125">
        <f>IFERROR(VLOOKUP(C43,'FY25 IMPACT FILE IFC-OTHER TBLS'!$A$3:$BJ$55,23,FALSE),0)</f>
        <v>0</v>
      </c>
      <c r="W43" s="125">
        <f>IFERROR(VLOOKUP(C43,'FY25 IMPACT FILE IFC-OTHER TBLS'!$A$3:$BJ$55,24,FALSE),0)</f>
        <v>0</v>
      </c>
      <c r="X43" s="119">
        <f t="shared" si="10"/>
        <v>0</v>
      </c>
      <c r="Y43" s="119">
        <f t="shared" si="11"/>
        <v>0</v>
      </c>
      <c r="Z43" s="126">
        <f t="shared" si="7"/>
        <v>0</v>
      </c>
      <c r="AA43" s="473">
        <f>VLOOKUP(C43,'FY25 IMPACT FILE IFC-OTHER TBLS'!A41:BN92,66,FALSE)</f>
        <v>0.99476704010000006</v>
      </c>
      <c r="AB43" s="127">
        <f t="shared" si="8"/>
        <v>-34.859666654768944</v>
      </c>
      <c r="AC43" s="124">
        <f>VLOOKUP(C43,'FY25 IMPACT FILE IFC-OTHER TBLS'!A41:BN92,65,FALSE)</f>
        <v>0.99919999999999998</v>
      </c>
      <c r="AD43" s="127">
        <f t="shared" si="9"/>
        <v>-5.3292465176001533</v>
      </c>
      <c r="AE43" s="10" t="str">
        <f>VLOOKUP(C43,'FY25 IMPACT FILE IFC-OTHER TBLS'!A41:BL92,64,FALSE)</f>
        <v>No</v>
      </c>
      <c r="AF43" s="130">
        <f t="shared" si="3"/>
        <v>0</v>
      </c>
      <c r="AG43" s="129">
        <f t="shared" si="12"/>
        <v>0</v>
      </c>
    </row>
    <row r="44" spans="1:33" x14ac:dyDescent="0.25">
      <c r="A44" s="10">
        <v>1</v>
      </c>
      <c r="B44" s="15">
        <v>60117</v>
      </c>
      <c r="C44" s="16" t="s">
        <v>354</v>
      </c>
      <c r="D44" s="96" t="s">
        <v>355</v>
      </c>
      <c r="E44" s="96" t="s">
        <v>240</v>
      </c>
      <c r="F44" s="152" t="str">
        <f>VLOOKUP($B44,Characteristics!$A$2:$K$86,11,FALSE)</f>
        <v xml:space="preserve"> </v>
      </c>
      <c r="G44" s="213">
        <f>VLOOKUP($B44,Characteristics!$A$2:$K$86,3,FALSE)</f>
        <v>1</v>
      </c>
      <c r="H44" s="96"/>
      <c r="I44" s="96"/>
      <c r="J44" s="15">
        <v>60117</v>
      </c>
      <c r="K44" s="120" t="str">
        <f>IFERROR(VLOOKUP(C44,'FY25 IMPACT FILE IFC-OTHER TBLS'!$A$3:$BN$52,63,FALSE),"NA")</f>
        <v>00</v>
      </c>
      <c r="L44" s="18"/>
      <c r="M44" s="119">
        <f>IF(AND(N44&lt;=1,K44=0),'FY 2025 IFC Table 1A-1E'!$C$4,'FY 2025 IFC Table 1A-1E'!$B$4)</f>
        <v>4478.09</v>
      </c>
      <c r="N44" s="120">
        <f>IFERROR(VLOOKUP($C44,'FY25 IMPACT FILE IFC-OTHER TBLS'!$A$3:$BJ$52,12,FALSE),1)</f>
        <v>1.0083</v>
      </c>
      <c r="O44" s="119">
        <f>IF(N44&lt;=1,'FY 2025 IFC Table 1A-1E'!$C$5,'FY 2025 IFC Table 1A-1E'!$B$5)</f>
        <v>2146.3000000000002</v>
      </c>
      <c r="P44" s="119">
        <f t="shared" si="0"/>
        <v>6661.5581470000006</v>
      </c>
      <c r="Q44" s="150">
        <f>'FY 2025 IFC Table 1A-1E'!$B$33</f>
        <v>512.14</v>
      </c>
      <c r="R44" s="120">
        <f>IFERROR(VLOOKUP(C44,'FY25 IMPACT FILE IFC-OTHER TBLS'!$A$3:$BJ$52,48,FALSE),1)</f>
        <v>1.0056764320069</v>
      </c>
      <c r="S44" s="119">
        <f t="shared" si="5"/>
        <v>515.04712788801373</v>
      </c>
      <c r="T44" s="121">
        <f t="shared" si="6"/>
        <v>7176.6052748880147</v>
      </c>
      <c r="U44" s="367">
        <f>IFERROR(VLOOKUP($C44,'GME Add-On Posting'!$A$8:$Q$30,17,FALSE),0)</f>
        <v>0</v>
      </c>
      <c r="V44" s="125">
        <f>IFERROR(VLOOKUP(C44,'FY25 IMPACT FILE IFC-OTHER TBLS'!$A$3:$BJ$55,23,FALSE),0)</f>
        <v>0</v>
      </c>
      <c r="W44" s="125">
        <f>IFERROR(VLOOKUP(C44,'FY25 IMPACT FILE IFC-OTHER TBLS'!$A$3:$BJ$55,24,FALSE),0)</f>
        <v>0</v>
      </c>
      <c r="X44" s="119">
        <f t="shared" si="10"/>
        <v>0</v>
      </c>
      <c r="Y44" s="119">
        <f t="shared" si="11"/>
        <v>0</v>
      </c>
      <c r="Z44" s="126">
        <f t="shared" si="7"/>
        <v>0</v>
      </c>
      <c r="AA44" s="473" t="str">
        <f>VLOOKUP(C44,'FY25 IMPACT FILE IFC-OTHER TBLS'!A42:BN93,66,FALSE)</f>
        <v>NA</v>
      </c>
      <c r="AB44" s="127">
        <f t="shared" si="8"/>
        <v>0</v>
      </c>
      <c r="AC44" s="124">
        <f>VLOOKUP(C44,'FY25 IMPACT FILE IFC-OTHER TBLS'!A42:BN93,65,FALSE)</f>
        <v>1</v>
      </c>
      <c r="AD44" s="127">
        <f t="shared" si="9"/>
        <v>0</v>
      </c>
      <c r="AE44" s="10" t="str">
        <f>VLOOKUP(C44,'FY25 IMPACT FILE IFC-OTHER TBLS'!A42:BL93,64,FALSE)</f>
        <v>No</v>
      </c>
      <c r="AF44" s="130">
        <f t="shared" si="3"/>
        <v>0</v>
      </c>
      <c r="AG44" s="129">
        <f t="shared" si="12"/>
        <v>0</v>
      </c>
    </row>
    <row r="45" spans="1:33" x14ac:dyDescent="0.25">
      <c r="A45" s="10">
        <v>1</v>
      </c>
      <c r="B45" s="15">
        <v>60118</v>
      </c>
      <c r="C45" s="16" t="s">
        <v>356</v>
      </c>
      <c r="D45" s="96" t="s">
        <v>357</v>
      </c>
      <c r="E45" s="96" t="s">
        <v>292</v>
      </c>
      <c r="F45" s="152" t="str">
        <f>VLOOKUP($B45,Characteristics!$A$2:$K$86,11,FALSE)</f>
        <v>SCH</v>
      </c>
      <c r="G45" s="213">
        <f>VLOOKUP($B45,Characteristics!$A$2:$K$86,3,FALSE)</f>
        <v>1</v>
      </c>
      <c r="H45" s="96"/>
      <c r="I45" s="96"/>
      <c r="J45" s="15">
        <v>60118</v>
      </c>
      <c r="K45" s="120" t="str">
        <f>IFERROR(VLOOKUP(C45,'FY25 IMPACT FILE IFC-OTHER TBLS'!$A$3:$BN$52,63,FALSE),"NA")</f>
        <v>00</v>
      </c>
      <c r="L45" s="18"/>
      <c r="M45" s="119">
        <f>IF(AND(N45&lt;=1,K45=0),'FY 2025 IFC Table 1A-1E'!$C$4,'FY 2025 IFC Table 1A-1E'!$B$4)</f>
        <v>4478.09</v>
      </c>
      <c r="N45" s="120">
        <f>IFERROR(VLOOKUP($C45,'FY25 IMPACT FILE IFC-OTHER TBLS'!$A$3:$BJ$52,12,FALSE),1)</f>
        <v>1.0083</v>
      </c>
      <c r="O45" s="119">
        <f>IF(N45&lt;=1,'FY 2025 IFC Table 1A-1E'!$C$5,'FY 2025 IFC Table 1A-1E'!$B$5)</f>
        <v>2146.3000000000002</v>
      </c>
      <c r="P45" s="119">
        <f t="shared" si="0"/>
        <v>6661.5581470000006</v>
      </c>
      <c r="Q45" s="150">
        <f>'FY 2025 IFC Table 1A-1E'!$B$33</f>
        <v>512.14</v>
      </c>
      <c r="R45" s="120">
        <f>IFERROR(VLOOKUP(C45,'FY25 IMPACT FILE IFC-OTHER TBLS'!$A$3:$BJ$52,48,FALSE),1)</f>
        <v>1.0056764320069</v>
      </c>
      <c r="S45" s="119">
        <f t="shared" si="5"/>
        <v>515.04712788801373</v>
      </c>
      <c r="T45" s="121">
        <f t="shared" si="6"/>
        <v>7176.6052748880147</v>
      </c>
      <c r="U45" s="367">
        <f>IFERROR(VLOOKUP($C45,'GME Add-On Posting'!$A$8:$Q$30,17,FALSE),0)</f>
        <v>0</v>
      </c>
      <c r="V45" s="125">
        <f>IFERROR(VLOOKUP(C45,'FY25 IMPACT FILE IFC-OTHER TBLS'!$A$3:$BJ$55,23,FALSE),0)</f>
        <v>0</v>
      </c>
      <c r="W45" s="125">
        <f>IFERROR(VLOOKUP(C45,'FY25 IMPACT FILE IFC-OTHER TBLS'!$A$3:$BJ$55,24,FALSE),0)</f>
        <v>0</v>
      </c>
      <c r="X45" s="119">
        <f t="shared" si="10"/>
        <v>0</v>
      </c>
      <c r="Y45" s="119">
        <f t="shared" si="11"/>
        <v>0</v>
      </c>
      <c r="Z45" s="126">
        <f t="shared" si="7"/>
        <v>0</v>
      </c>
      <c r="AA45" s="473" t="str">
        <f>VLOOKUP(C45,'FY25 IMPACT FILE IFC-OTHER TBLS'!A43:BN94,66,FALSE)</f>
        <v>NA</v>
      </c>
      <c r="AB45" s="127">
        <f t="shared" si="8"/>
        <v>0</v>
      </c>
      <c r="AC45" s="124">
        <f>VLOOKUP(C45,'FY25 IMPACT FILE IFC-OTHER TBLS'!A43:BN94,65,FALSE)</f>
        <v>1</v>
      </c>
      <c r="AD45" s="127">
        <f t="shared" si="9"/>
        <v>0</v>
      </c>
      <c r="AE45" s="10" t="str">
        <f>VLOOKUP(C45,'FY25 IMPACT FILE IFC-OTHER TBLS'!A43:BL94,64,FALSE)</f>
        <v>No</v>
      </c>
      <c r="AF45" s="130">
        <f t="shared" si="3"/>
        <v>0</v>
      </c>
      <c r="AG45" s="129">
        <f t="shared" si="12"/>
        <v>0</v>
      </c>
    </row>
    <row r="46" spans="1:33" x14ac:dyDescent="0.25">
      <c r="A46" s="10">
        <v>1</v>
      </c>
      <c r="B46" s="15">
        <v>60119</v>
      </c>
      <c r="C46" s="16" t="s">
        <v>160</v>
      </c>
      <c r="D46" s="96" t="s">
        <v>358</v>
      </c>
      <c r="E46" s="96" t="s">
        <v>304</v>
      </c>
      <c r="F46" s="152" t="str">
        <f>VLOOKUP($B46,Characteristics!$A$2:$K$86,11,FALSE)</f>
        <v xml:space="preserve"> </v>
      </c>
      <c r="G46" s="213">
        <f>VLOOKUP($B46,Characteristics!$A$2:$K$86,3,FALSE)</f>
        <v>0</v>
      </c>
      <c r="H46" s="96"/>
      <c r="I46" s="96"/>
      <c r="J46" s="15">
        <v>60119</v>
      </c>
      <c r="K46" s="120" t="str">
        <f>IFERROR(VLOOKUP(C46,'FY25 IMPACT FILE IFC-OTHER TBLS'!$A$3:$BN$52,63,FALSE),"NA")</f>
        <v>00</v>
      </c>
      <c r="L46" s="18"/>
      <c r="M46" s="119">
        <f>IF(AND(N46&lt;=1,K46=0),'FY 2025 IFC Table 1A-1E'!$C$4,'FY 2025 IFC Table 1A-1E'!$B$4)</f>
        <v>4478.09</v>
      </c>
      <c r="N46" s="120">
        <f>IFERROR(VLOOKUP($C46,'FY25 IMPACT FILE IFC-OTHER TBLS'!$A$3:$BJ$52,12,FALSE),1)</f>
        <v>1.0083</v>
      </c>
      <c r="O46" s="119">
        <f>IF(N46&lt;=1,'FY 2025 IFC Table 1A-1E'!$C$5,'FY 2025 IFC Table 1A-1E'!$B$5)</f>
        <v>2146.3000000000002</v>
      </c>
      <c r="P46" s="119">
        <f t="shared" si="0"/>
        <v>6661.5581470000006</v>
      </c>
      <c r="Q46" s="150">
        <f>'FY 2025 IFC Table 1A-1E'!$B$33</f>
        <v>512.14</v>
      </c>
      <c r="R46" s="120">
        <f>IFERROR(VLOOKUP(C46,'FY25 IMPACT FILE IFC-OTHER TBLS'!$A$3:$BJ$52,48,FALSE),1)</f>
        <v>1.0056764320069</v>
      </c>
      <c r="S46" s="119">
        <f t="shared" si="5"/>
        <v>515.04712788801373</v>
      </c>
      <c r="T46" s="121">
        <f t="shared" si="6"/>
        <v>7176.6052748880147</v>
      </c>
      <c r="U46" s="367">
        <f>IFERROR(VLOOKUP($C46,'GME Add-On Posting'!$A$8:$Q$30,17,FALSE),0)</f>
        <v>1.2554158268930264</v>
      </c>
      <c r="V46" s="125">
        <f>IFERROR(VLOOKUP(C46,'FY25 IMPACT FILE IFC-OTHER TBLS'!$A$3:$BJ$55,23,FALSE),0)</f>
        <v>0</v>
      </c>
      <c r="W46" s="125">
        <f>IFERROR(VLOOKUP(C46,'FY25 IMPACT FILE IFC-OTHER TBLS'!$A$3:$BJ$55,24,FALSE),0)</f>
        <v>0</v>
      </c>
      <c r="X46" s="119">
        <f t="shared" si="10"/>
        <v>0</v>
      </c>
      <c r="Y46" s="119">
        <f t="shared" si="11"/>
        <v>0</v>
      </c>
      <c r="Z46" s="126">
        <f t="shared" si="7"/>
        <v>0</v>
      </c>
      <c r="AA46" s="473">
        <f>VLOOKUP(C46,'FY25 IMPACT FILE IFC-OTHER TBLS'!A44:BN95,66,FALSE)</f>
        <v>0.99633324130000001</v>
      </c>
      <c r="AB46" s="127">
        <f t="shared" si="8"/>
        <v>-24.426326291068094</v>
      </c>
      <c r="AC46" s="124">
        <f>VLOOKUP(C46,'FY25 IMPACT FILE IFC-OTHER TBLS'!A44:BN95,65,FALSE)</f>
        <v>0.99670000000000003</v>
      </c>
      <c r="AD46" s="127">
        <f t="shared" si="9"/>
        <v>-21.983141885099801</v>
      </c>
      <c r="AE46" s="10" t="str">
        <f>VLOOKUP(C46,'FY25 IMPACT FILE IFC-OTHER TBLS'!A44:BL95,64,FALSE)</f>
        <v>No</v>
      </c>
      <c r="AF46" s="130">
        <f t="shared" si="3"/>
        <v>0</v>
      </c>
      <c r="AG46" s="129">
        <f t="shared" si="12"/>
        <v>0</v>
      </c>
    </row>
    <row r="47" spans="1:33" s="6" customFormat="1" x14ac:dyDescent="0.25">
      <c r="A47" s="48">
        <v>1</v>
      </c>
      <c r="B47" s="49">
        <v>60124</v>
      </c>
      <c r="C47" s="50" t="s">
        <v>359</v>
      </c>
      <c r="D47" s="96" t="s">
        <v>360</v>
      </c>
      <c r="E47" s="96" t="s">
        <v>292</v>
      </c>
      <c r="F47" s="152" t="str">
        <f>VLOOKUP($B47,Characteristics!$A$2:$K$86,11,FALSE)</f>
        <v xml:space="preserve"> </v>
      </c>
      <c r="G47" s="213">
        <f>VLOOKUP($B47,Characteristics!$A$2:$K$86,3,FALSE)</f>
        <v>0</v>
      </c>
      <c r="H47" s="111"/>
      <c r="I47" s="111"/>
      <c r="J47" s="15">
        <v>60124</v>
      </c>
      <c r="K47" s="120" t="str">
        <f>IFERROR(VLOOKUP(C47,'FY25 IMPACT FILE IFC-OTHER TBLS'!$A$3:$BN$52,63,FALSE),"NA")</f>
        <v>00</v>
      </c>
      <c r="L47" s="54"/>
      <c r="M47" s="119">
        <f>IF(AND(N47&lt;=1,K47=0),'FY 2025 IFC Table 1A-1E'!$C$4,'FY 2025 IFC Table 1A-1E'!$B$4)</f>
        <v>4478.09</v>
      </c>
      <c r="N47" s="120">
        <f>IFERROR(VLOOKUP($C47,'FY25 IMPACT FILE IFC-OTHER TBLS'!$A$3:$BJ$52,12,FALSE),1)</f>
        <v>1.0083</v>
      </c>
      <c r="O47" s="119">
        <f>IF(N47&lt;=1,'FY 2025 IFC Table 1A-1E'!$C$5,'FY 2025 IFC Table 1A-1E'!$B$5)</f>
        <v>2146.3000000000002</v>
      </c>
      <c r="P47" s="122">
        <f t="shared" si="0"/>
        <v>6661.5581470000006</v>
      </c>
      <c r="Q47" s="150">
        <f>'FY 2025 IFC Table 1A-1E'!$B$33</f>
        <v>512.14</v>
      </c>
      <c r="R47" s="120">
        <f>IFERROR(VLOOKUP(C47,'FY25 IMPACT FILE IFC-OTHER TBLS'!$A$3:$BJ$52,48,FALSE),1)</f>
        <v>1.0056764320069</v>
      </c>
      <c r="S47" s="122">
        <f t="shared" si="5"/>
        <v>515.04712788801373</v>
      </c>
      <c r="T47" s="123">
        <f t="shared" si="6"/>
        <v>7176.6052748880147</v>
      </c>
      <c r="U47" s="367">
        <f>IFERROR(VLOOKUP($C47,'GME Add-On Posting'!$A$8:$Q$30,17,FALSE),0)</f>
        <v>0</v>
      </c>
      <c r="V47" s="125">
        <f>IFERROR(VLOOKUP(C47,'FY25 IMPACT FILE IFC-OTHER TBLS'!$A$3:$BJ$55,23,FALSE),0)</f>
        <v>0</v>
      </c>
      <c r="W47" s="125">
        <f>IFERROR(VLOOKUP(C47,'FY25 IMPACT FILE IFC-OTHER TBLS'!$A$3:$BJ$55,24,FALSE),0)</f>
        <v>0</v>
      </c>
      <c r="X47" s="122">
        <f t="shared" si="10"/>
        <v>0</v>
      </c>
      <c r="Y47" s="122">
        <f t="shared" si="11"/>
        <v>0</v>
      </c>
      <c r="Z47" s="126">
        <f t="shared" si="7"/>
        <v>0</v>
      </c>
      <c r="AA47" s="473" t="str">
        <f>VLOOKUP(C47,'FY25 IMPACT FILE IFC-OTHER TBLS'!A45:BN96,66,FALSE)</f>
        <v>NA</v>
      </c>
      <c r="AB47" s="127">
        <f t="shared" si="8"/>
        <v>0</v>
      </c>
      <c r="AC47" s="124">
        <f>VLOOKUP(C47,'FY25 IMPACT FILE IFC-OTHER TBLS'!A45:BN96,65,FALSE)</f>
        <v>1</v>
      </c>
      <c r="AD47" s="127">
        <f t="shared" si="9"/>
        <v>0</v>
      </c>
      <c r="AE47" s="10" t="str">
        <f>VLOOKUP(C47,'FY25 IMPACT FILE IFC-OTHER TBLS'!A45:BL96,64,FALSE)</f>
        <v>No</v>
      </c>
      <c r="AF47" s="131">
        <f t="shared" si="3"/>
        <v>0</v>
      </c>
      <c r="AG47" s="129">
        <f t="shared" si="12"/>
        <v>0</v>
      </c>
    </row>
    <row r="48" spans="1:33" x14ac:dyDescent="0.25">
      <c r="A48" s="10">
        <v>1</v>
      </c>
      <c r="B48" s="15">
        <v>60125</v>
      </c>
      <c r="C48" s="16" t="s">
        <v>361</v>
      </c>
      <c r="D48" s="96" t="s">
        <v>362</v>
      </c>
      <c r="E48" s="96" t="s">
        <v>332</v>
      </c>
      <c r="F48" s="152" t="str">
        <f>VLOOKUP($B48,Characteristics!$A$2:$K$86,11,FALSE)</f>
        <v xml:space="preserve"> </v>
      </c>
      <c r="G48" s="213">
        <f>VLOOKUP($B48,Characteristics!$A$2:$K$86,3,FALSE)</f>
        <v>0</v>
      </c>
      <c r="H48" s="96"/>
      <c r="I48" s="96"/>
      <c r="J48" s="15">
        <v>60125</v>
      </c>
      <c r="K48" s="120" t="str">
        <f>IFERROR(VLOOKUP(C48,'FY25 IMPACT FILE IFC-OTHER TBLS'!$A$3:$BN$52,63,FALSE),"NA")</f>
        <v>00</v>
      </c>
      <c r="L48" s="18"/>
      <c r="M48" s="119">
        <f>IF(AND(N48&lt;=1,K48=0),'FY 2025 IFC Table 1A-1E'!$C$4,'FY 2025 IFC Table 1A-1E'!$B$4)</f>
        <v>4478.09</v>
      </c>
      <c r="N48" s="120">
        <f>IFERROR(VLOOKUP($C48,'FY25 IMPACT FILE IFC-OTHER TBLS'!$A$3:$BJ$52,12,FALSE),1)</f>
        <v>1.0083</v>
      </c>
      <c r="O48" s="119">
        <f>IF(N48&lt;=1,'FY 2025 IFC Table 1A-1E'!$C$5,'FY 2025 IFC Table 1A-1E'!$B$5)</f>
        <v>2146.3000000000002</v>
      </c>
      <c r="P48" s="119">
        <f t="shared" si="0"/>
        <v>6661.5581470000006</v>
      </c>
      <c r="Q48" s="150">
        <f>'FY 2025 IFC Table 1A-1E'!$B$33</f>
        <v>512.14</v>
      </c>
      <c r="R48" s="120">
        <f>IFERROR(VLOOKUP(C48,'FY25 IMPACT FILE IFC-OTHER TBLS'!$A$3:$BJ$52,48,FALSE),1)</f>
        <v>1.0056764320069</v>
      </c>
      <c r="S48" s="119">
        <f t="shared" si="5"/>
        <v>515.04712788801373</v>
      </c>
      <c r="T48" s="121">
        <f t="shared" si="6"/>
        <v>7176.6052748880147</v>
      </c>
      <c r="U48" s="367">
        <f>IFERROR(VLOOKUP($C48,'GME Add-On Posting'!$A$8:$Q$30,17,FALSE),0)</f>
        <v>0</v>
      </c>
      <c r="V48" s="125">
        <f>IFERROR(VLOOKUP(C48,'FY25 IMPACT FILE IFC-OTHER TBLS'!$A$3:$BJ$55,23,FALSE),0)</f>
        <v>0</v>
      </c>
      <c r="W48" s="125">
        <f>IFERROR(VLOOKUP(C48,'FY25 IMPACT FILE IFC-OTHER TBLS'!$A$3:$BJ$55,24,FALSE),0)</f>
        <v>0</v>
      </c>
      <c r="X48" s="119">
        <f t="shared" si="10"/>
        <v>0</v>
      </c>
      <c r="Y48" s="119">
        <f t="shared" si="11"/>
        <v>0</v>
      </c>
      <c r="Z48" s="126">
        <f t="shared" si="7"/>
        <v>0</v>
      </c>
      <c r="AA48" s="473">
        <f>VLOOKUP(C48,'FY25 IMPACT FILE IFC-OTHER TBLS'!A46:BN97,66,FALSE)</f>
        <v>1.0031574038</v>
      </c>
      <c r="AB48" s="127">
        <f t="shared" si="8"/>
        <v>21.033229007258484</v>
      </c>
      <c r="AC48" s="124">
        <f>VLOOKUP(C48,'FY25 IMPACT FILE IFC-OTHER TBLS'!A46:BN97,65,FALSE)</f>
        <v>0.99880000000000002</v>
      </c>
      <c r="AD48" s="127">
        <f t="shared" si="9"/>
        <v>-7.9938697763998601</v>
      </c>
      <c r="AE48" s="10" t="str">
        <f>VLOOKUP(C48,'FY25 IMPACT FILE IFC-OTHER TBLS'!A46:BL97,64,FALSE)</f>
        <v>No</v>
      </c>
      <c r="AF48" s="130">
        <f t="shared" si="3"/>
        <v>0</v>
      </c>
      <c r="AG48" s="129">
        <f t="shared" si="12"/>
        <v>0</v>
      </c>
    </row>
    <row r="49" spans="1:33" x14ac:dyDescent="0.25">
      <c r="A49" s="10">
        <v>1</v>
      </c>
      <c r="B49" s="15">
        <v>60126</v>
      </c>
      <c r="C49" s="16" t="s">
        <v>363</v>
      </c>
      <c r="D49" s="96" t="s">
        <v>364</v>
      </c>
      <c r="E49" s="96" t="s">
        <v>289</v>
      </c>
      <c r="F49" s="152" t="str">
        <f>VLOOKUP($B49,Characteristics!$A$2:$K$86,11,FALSE)</f>
        <v xml:space="preserve"> </v>
      </c>
      <c r="G49" s="213">
        <f>VLOOKUP($B49,Characteristics!$A$2:$K$86,3,FALSE)</f>
        <v>0</v>
      </c>
      <c r="H49" s="96"/>
      <c r="I49" s="96"/>
      <c r="J49" s="15">
        <v>60126</v>
      </c>
      <c r="K49" s="120" t="str">
        <f>IFERROR(VLOOKUP(C49,'FY25 IMPACT FILE IFC-OTHER TBLS'!$A$3:$BN$52,63,FALSE),"NA")</f>
        <v>00</v>
      </c>
      <c r="L49" s="18"/>
      <c r="M49" s="119">
        <f>IF(AND(N49&lt;=1,K49=0),'FY 2025 IFC Table 1A-1E'!$C$4,'FY 2025 IFC Table 1A-1E'!$B$4)</f>
        <v>4478.09</v>
      </c>
      <c r="N49" s="120">
        <f>IFERROR(VLOOKUP($C49,'FY25 IMPACT FILE IFC-OTHER TBLS'!$A$3:$BJ$52,12,FALSE),1)</f>
        <v>1.0083</v>
      </c>
      <c r="O49" s="119">
        <f>IF(N49&lt;=1,'FY 2025 IFC Table 1A-1E'!$C$5,'FY 2025 IFC Table 1A-1E'!$B$5)</f>
        <v>2146.3000000000002</v>
      </c>
      <c r="P49" s="119">
        <f t="shared" si="0"/>
        <v>6661.5581470000006</v>
      </c>
      <c r="Q49" s="150">
        <f>'FY 2025 IFC Table 1A-1E'!$B$33</f>
        <v>512.14</v>
      </c>
      <c r="R49" s="120">
        <f>IFERROR(VLOOKUP(C49,'FY25 IMPACT FILE IFC-OTHER TBLS'!$A$3:$BJ$52,48,FALSE),1)</f>
        <v>1.0056764320069</v>
      </c>
      <c r="S49" s="119">
        <f t="shared" si="5"/>
        <v>515.04712788801373</v>
      </c>
      <c r="T49" s="121">
        <f t="shared" si="6"/>
        <v>7176.6052748880147</v>
      </c>
      <c r="U49" s="367">
        <f>IFERROR(VLOOKUP($C49,'GME Add-On Posting'!$A$8:$Q$30,17,FALSE),0)</f>
        <v>0</v>
      </c>
      <c r="V49" s="125">
        <f>IFERROR(VLOOKUP(C49,'FY25 IMPACT FILE IFC-OTHER TBLS'!$A$3:$BJ$55,23,FALSE),0)</f>
        <v>0</v>
      </c>
      <c r="W49" s="125">
        <f>IFERROR(VLOOKUP(C49,'FY25 IMPACT FILE IFC-OTHER TBLS'!$A$3:$BJ$55,24,FALSE),0)</f>
        <v>0</v>
      </c>
      <c r="X49" s="119">
        <f t="shared" si="10"/>
        <v>0</v>
      </c>
      <c r="Y49" s="119">
        <f t="shared" si="11"/>
        <v>0</v>
      </c>
      <c r="Z49" s="126">
        <f t="shared" si="7"/>
        <v>0</v>
      </c>
      <c r="AA49" s="473" t="str">
        <f>VLOOKUP(C49,'FY25 IMPACT FILE IFC-OTHER TBLS'!A47:BN98,66,FALSE)</f>
        <v>NA</v>
      </c>
      <c r="AB49" s="127">
        <f t="shared" si="8"/>
        <v>0</v>
      </c>
      <c r="AC49" s="124">
        <f>VLOOKUP(C49,'FY25 IMPACT FILE IFC-OTHER TBLS'!A47:BN98,65,FALSE)</f>
        <v>1</v>
      </c>
      <c r="AD49" s="127">
        <f t="shared" si="9"/>
        <v>0</v>
      </c>
      <c r="AE49" s="10" t="str">
        <f>VLOOKUP(C49,'FY25 IMPACT FILE IFC-OTHER TBLS'!A47:BL98,64,FALSE)</f>
        <v>No</v>
      </c>
      <c r="AF49" s="130">
        <f t="shared" si="3"/>
        <v>0</v>
      </c>
      <c r="AG49" s="129">
        <f t="shared" si="12"/>
        <v>0</v>
      </c>
    </row>
    <row r="50" spans="1:33" x14ac:dyDescent="0.25">
      <c r="A50" s="10">
        <v>1</v>
      </c>
      <c r="B50" s="15">
        <v>60128</v>
      </c>
      <c r="C50" s="16" t="s">
        <v>365</v>
      </c>
      <c r="D50" s="96" t="s">
        <v>366</v>
      </c>
      <c r="E50" s="96" t="s">
        <v>304</v>
      </c>
      <c r="F50" s="152" t="str">
        <f>VLOOKUP($B50,Characteristics!$A$2:$K$86,11,FALSE)</f>
        <v xml:space="preserve"> </v>
      </c>
      <c r="G50" s="213">
        <f>VLOOKUP($B50,Characteristics!$A$2:$K$86,3,FALSE)</f>
        <v>0</v>
      </c>
      <c r="H50" s="96"/>
      <c r="I50" s="96"/>
      <c r="J50" s="15">
        <v>60128</v>
      </c>
      <c r="K50" s="120" t="str">
        <f>IFERROR(VLOOKUP(C50,'FY25 IMPACT FILE IFC-OTHER TBLS'!$A$3:$BN$52,63,FALSE),"NA")</f>
        <v>00</v>
      </c>
      <c r="L50" s="18"/>
      <c r="M50" s="119">
        <f>IF(AND(N50&lt;=1,K50=0),'FY 2025 IFC Table 1A-1E'!$C$4,'FY 2025 IFC Table 1A-1E'!$B$4)</f>
        <v>4478.09</v>
      </c>
      <c r="N50" s="120">
        <f>IFERROR(VLOOKUP($C50,'FY25 IMPACT FILE IFC-OTHER TBLS'!$A$3:$BJ$52,12,FALSE),1)</f>
        <v>1.0083</v>
      </c>
      <c r="O50" s="119">
        <f>IF(N50&lt;=1,'FY 2025 IFC Table 1A-1E'!$C$5,'FY 2025 IFC Table 1A-1E'!$B$5)</f>
        <v>2146.3000000000002</v>
      </c>
      <c r="P50" s="119">
        <f t="shared" si="0"/>
        <v>6661.5581470000006</v>
      </c>
      <c r="Q50" s="150">
        <f>'FY 2025 IFC Table 1A-1E'!$B$33</f>
        <v>512.14</v>
      </c>
      <c r="R50" s="120">
        <f>IFERROR(VLOOKUP(C50,'FY25 IMPACT FILE IFC-OTHER TBLS'!$A$3:$BJ$52,48,FALSE),1)</f>
        <v>1.0056764320069</v>
      </c>
      <c r="S50" s="119">
        <f t="shared" si="5"/>
        <v>515.04712788801373</v>
      </c>
      <c r="T50" s="121">
        <f t="shared" si="6"/>
        <v>7176.6052748880147</v>
      </c>
      <c r="U50" s="367">
        <f>IFERROR(VLOOKUP($C50,'GME Add-On Posting'!$A$8:$Q$30,17,FALSE),0)</f>
        <v>0</v>
      </c>
      <c r="V50" s="125">
        <f>IFERROR(VLOOKUP(C50,'FY25 IMPACT FILE IFC-OTHER TBLS'!$A$3:$BJ$55,23,FALSE),0)</f>
        <v>0</v>
      </c>
      <c r="W50" s="125">
        <f>IFERROR(VLOOKUP(C50,'FY25 IMPACT FILE IFC-OTHER TBLS'!$A$3:$BJ$55,24,FALSE),0)</f>
        <v>0</v>
      </c>
      <c r="X50" s="119">
        <f t="shared" si="10"/>
        <v>0</v>
      </c>
      <c r="Y50" s="119">
        <f t="shared" si="11"/>
        <v>0</v>
      </c>
      <c r="Z50" s="126">
        <f t="shared" si="7"/>
        <v>0</v>
      </c>
      <c r="AA50" s="473">
        <f>VLOOKUP(C50,'FY25 IMPACT FILE IFC-OTHER TBLS'!A48:BN99,66,FALSE)</f>
        <v>1.0009199735000001</v>
      </c>
      <c r="AB50" s="127">
        <f t="shared" si="8"/>
        <v>6.1284569639495032</v>
      </c>
      <c r="AC50" s="124">
        <f>VLOOKUP(C50,'FY25 IMPACT FILE IFC-OTHER TBLS'!A48:BN99,65,FALSE)</f>
        <v>1</v>
      </c>
      <c r="AD50" s="127">
        <f t="shared" si="9"/>
        <v>0</v>
      </c>
      <c r="AE50" s="10" t="str">
        <f>VLOOKUP(C50,'FY25 IMPACT FILE IFC-OTHER TBLS'!A48:BL99,64,FALSE)</f>
        <v>No</v>
      </c>
      <c r="AF50" s="130">
        <f t="shared" si="3"/>
        <v>0</v>
      </c>
      <c r="AG50" s="129">
        <f t="shared" si="12"/>
        <v>0</v>
      </c>
    </row>
    <row r="51" spans="1:33" x14ac:dyDescent="0.25">
      <c r="A51" s="10">
        <v>1</v>
      </c>
      <c r="B51" s="15">
        <v>60129</v>
      </c>
      <c r="C51" s="16" t="s">
        <v>162</v>
      </c>
      <c r="D51" s="96" t="s">
        <v>367</v>
      </c>
      <c r="E51" s="96" t="s">
        <v>304</v>
      </c>
      <c r="F51" s="152" t="str">
        <f>VLOOKUP($B51,Characteristics!$A$2:$K$86,11,FALSE)</f>
        <v xml:space="preserve"> </v>
      </c>
      <c r="G51" s="213">
        <f>VLOOKUP($B51,Characteristics!$A$2:$K$86,3,FALSE)</f>
        <v>0</v>
      </c>
      <c r="H51" s="96"/>
      <c r="I51" s="96"/>
      <c r="J51" s="15">
        <v>60129</v>
      </c>
      <c r="K51" s="120" t="str">
        <f>IFERROR(VLOOKUP(C51,'FY25 IMPACT FILE IFC-OTHER TBLS'!$A$3:$BN$52,63,FALSE),"NA")</f>
        <v>00</v>
      </c>
      <c r="L51" s="20"/>
      <c r="M51" s="119">
        <f>IF(AND(N51&lt;=1,K51=0),'FY 2025 IFC Table 1A-1E'!$C$4,'FY 2025 IFC Table 1A-1E'!$B$4)</f>
        <v>4478.09</v>
      </c>
      <c r="N51" s="120">
        <f>IFERROR(VLOOKUP($C51,'FY25 IMPACT FILE IFC-OTHER TBLS'!$A$3:$BJ$52,12,FALSE),1)</f>
        <v>1.0083</v>
      </c>
      <c r="O51" s="119">
        <f>IF(N51&lt;=1,'FY 2025 IFC Table 1A-1E'!$C$5,'FY 2025 IFC Table 1A-1E'!$B$5)</f>
        <v>2146.3000000000002</v>
      </c>
      <c r="P51" s="119">
        <f t="shared" si="0"/>
        <v>6661.5581470000006</v>
      </c>
      <c r="Q51" s="150">
        <f>'FY 2025 IFC Table 1A-1E'!$B$33</f>
        <v>512.14</v>
      </c>
      <c r="R51" s="120">
        <f>IFERROR(VLOOKUP(C51,'FY25 IMPACT FILE IFC-OTHER TBLS'!$A$3:$BJ$52,48,FALSE),1)</f>
        <v>1.0056764320069</v>
      </c>
      <c r="S51" s="119">
        <f t="shared" si="5"/>
        <v>515.04712788801373</v>
      </c>
      <c r="T51" s="121">
        <f t="shared" si="6"/>
        <v>7176.6052748880147</v>
      </c>
      <c r="U51" s="367">
        <f>IFERROR(VLOOKUP($C51,'GME Add-On Posting'!$A$8:$Q$30,17,FALSE),0)</f>
        <v>6.4563290205270265</v>
      </c>
      <c r="V51" s="125">
        <f>IFERROR(VLOOKUP(C51,'FY25 IMPACT FILE IFC-OTHER TBLS'!$A$3:$BJ$55,23,FALSE),0)</f>
        <v>0</v>
      </c>
      <c r="W51" s="125">
        <f>IFERROR(VLOOKUP(C51,'FY25 IMPACT FILE IFC-OTHER TBLS'!$A$3:$BJ$55,24,FALSE),0)</f>
        <v>0</v>
      </c>
      <c r="X51" s="119">
        <f t="shared" si="10"/>
        <v>0</v>
      </c>
      <c r="Y51" s="119">
        <f t="shared" si="11"/>
        <v>0</v>
      </c>
      <c r="Z51" s="126">
        <f t="shared" si="7"/>
        <v>0</v>
      </c>
      <c r="AA51" s="473" t="str">
        <f>VLOOKUP(C51,'FY25 IMPACT FILE IFC-OTHER TBLS'!A49:BN100,66,FALSE)</f>
        <v>NA</v>
      </c>
      <c r="AB51" s="127">
        <f t="shared" si="8"/>
        <v>0</v>
      </c>
      <c r="AC51" s="124">
        <f>VLOOKUP(C51,'FY25 IMPACT FILE IFC-OTHER TBLS'!A49:BN100,65,FALSE)</f>
        <v>1</v>
      </c>
      <c r="AD51" s="127">
        <f t="shared" si="9"/>
        <v>0</v>
      </c>
      <c r="AE51" s="10" t="str">
        <f>VLOOKUP(C51,'FY25 IMPACT FILE IFC-OTHER TBLS'!A49:BL100,64,FALSE)</f>
        <v>No</v>
      </c>
      <c r="AF51" s="130">
        <f t="shared" si="3"/>
        <v>0</v>
      </c>
      <c r="AG51" s="129">
        <f t="shared" si="12"/>
        <v>0</v>
      </c>
    </row>
    <row r="52" spans="1:33" x14ac:dyDescent="0.25">
      <c r="A52" s="10">
        <v>1</v>
      </c>
      <c r="B52" s="15">
        <v>60130</v>
      </c>
      <c r="C52" s="16" t="s">
        <v>368</v>
      </c>
      <c r="D52" s="96" t="s">
        <v>369</v>
      </c>
      <c r="E52" s="96" t="s">
        <v>304</v>
      </c>
      <c r="F52" s="152" t="str">
        <f>VLOOKUP($B52,Characteristics!$A$2:$K$86,11,FALSE)</f>
        <v xml:space="preserve"> </v>
      </c>
      <c r="G52" s="213">
        <f>VLOOKUP($B52,Characteristics!$A$2:$K$86,3,FALSE)</f>
        <v>0</v>
      </c>
      <c r="H52" s="96"/>
      <c r="I52" s="96"/>
      <c r="J52" s="15">
        <v>60130</v>
      </c>
      <c r="K52" s="120" t="str">
        <f>IFERROR(VLOOKUP(C52,'FY25 IMPACT FILE IFC-OTHER TBLS'!$A$3:$BN$52,63,FALSE),"NA")</f>
        <v>00</v>
      </c>
      <c r="L52" s="20"/>
      <c r="M52" s="119">
        <f>IF(AND(N52&lt;=1,K52=0),'FY 2025 IFC Table 1A-1E'!$C$4,'FY 2025 IFC Table 1A-1E'!$B$4)</f>
        <v>4478.09</v>
      </c>
      <c r="N52" s="120">
        <f>IFERROR(VLOOKUP($C52,'FY25 IMPACT FILE IFC-OTHER TBLS'!$A$3:$BJ$52,12,FALSE),1)</f>
        <v>1.0083</v>
      </c>
      <c r="O52" s="119">
        <f>IF(N52&lt;=1,'FY 2025 IFC Table 1A-1E'!$C$5,'FY 2025 IFC Table 1A-1E'!$B$5)</f>
        <v>2146.3000000000002</v>
      </c>
      <c r="P52" s="119">
        <f t="shared" si="0"/>
        <v>6661.5581470000006</v>
      </c>
      <c r="Q52" s="150">
        <f>'FY 2025 IFC Table 1A-1E'!$B$33</f>
        <v>512.14</v>
      </c>
      <c r="R52" s="120">
        <f>IFERROR(VLOOKUP(C52,'FY25 IMPACT FILE IFC-OTHER TBLS'!$A$3:$BJ$52,48,FALSE),1)</f>
        <v>1.0056764320069</v>
      </c>
      <c r="S52" s="119">
        <f t="shared" si="5"/>
        <v>515.04712788801373</v>
      </c>
      <c r="T52" s="121">
        <f t="shared" si="6"/>
        <v>7176.6052748880147</v>
      </c>
      <c r="U52" s="367">
        <f>IFERROR(VLOOKUP($C52,'GME Add-On Posting'!$A$8:$Q$30,17,FALSE),0)</f>
        <v>0</v>
      </c>
      <c r="V52" s="125">
        <f>IFERROR(VLOOKUP(C52,'FY25 IMPACT FILE IFC-OTHER TBLS'!$A$3:$BJ$55,23,FALSE),0)</f>
        <v>0</v>
      </c>
      <c r="W52" s="125">
        <f>IFERROR(VLOOKUP(C52,'FY25 IMPACT FILE IFC-OTHER TBLS'!$A$3:$BJ$55,24,FALSE),0)</f>
        <v>0</v>
      </c>
      <c r="X52" s="119">
        <f t="shared" si="10"/>
        <v>0</v>
      </c>
      <c r="Y52" s="119">
        <f t="shared" si="11"/>
        <v>0</v>
      </c>
      <c r="Z52" s="126">
        <f t="shared" si="7"/>
        <v>0</v>
      </c>
      <c r="AA52" s="473" t="str">
        <f>VLOOKUP(C52,'FY25 IMPACT FILE IFC-OTHER TBLS'!A50:BN101,66,FALSE)</f>
        <v>NA</v>
      </c>
      <c r="AB52" s="127">
        <f t="shared" si="8"/>
        <v>0</v>
      </c>
      <c r="AC52" s="124">
        <f>VLOOKUP(C52,'FY25 IMPACT FILE IFC-OTHER TBLS'!A50:BN101,65,FALSE)</f>
        <v>1</v>
      </c>
      <c r="AD52" s="127">
        <f t="shared" si="9"/>
        <v>0</v>
      </c>
      <c r="AE52" s="10" t="str">
        <f>VLOOKUP(C52,'FY25 IMPACT FILE IFC-OTHER TBLS'!A50:BL101,64,FALSE)</f>
        <v>No</v>
      </c>
      <c r="AF52" s="130">
        <f t="shared" si="3"/>
        <v>0</v>
      </c>
      <c r="AG52" s="129">
        <f t="shared" si="12"/>
        <v>0</v>
      </c>
    </row>
    <row r="53" spans="1:33" x14ac:dyDescent="0.25">
      <c r="A53" s="10">
        <v>1</v>
      </c>
      <c r="B53" s="15">
        <v>60131</v>
      </c>
      <c r="C53" s="21" t="s">
        <v>370</v>
      </c>
      <c r="D53" s="96" t="s">
        <v>371</v>
      </c>
      <c r="E53" s="96" t="s">
        <v>304</v>
      </c>
      <c r="F53" s="152" t="str">
        <f>VLOOKUP($B53,Characteristics!$A$2:$K$86,11,FALSE)</f>
        <v xml:space="preserve"> </v>
      </c>
      <c r="G53" s="213">
        <f>VLOOKUP($B53,Characteristics!$A$2:$K$86,3,FALSE)</f>
        <v>0</v>
      </c>
      <c r="H53" s="96"/>
      <c r="I53" s="96"/>
      <c r="J53" s="15">
        <v>60131</v>
      </c>
      <c r="K53" s="120" t="str">
        <f>IFERROR(VLOOKUP(C53,'FY25 IMPACT FILE IFC-OTHER TBLS'!$A$3:$BN$52,63,FALSE),"NA")</f>
        <v>00</v>
      </c>
      <c r="L53" s="22"/>
      <c r="M53" s="119">
        <f>IF(AND(N53&lt;=1,K53=0),'FY 2025 IFC Table 1A-1E'!$C$4,'FY 2025 IFC Table 1A-1E'!$B$4)</f>
        <v>4478.09</v>
      </c>
      <c r="N53" s="120">
        <f>IFERROR(VLOOKUP($C53,'FY25 IMPACT FILE IFC-OTHER TBLS'!$A$3:$BJ$52,12,FALSE),1)</f>
        <v>1.0104</v>
      </c>
      <c r="O53" s="119">
        <f>IF(N53&lt;=1,'FY 2025 IFC Table 1A-1E'!$C$5,'FY 2025 IFC Table 1A-1E'!$B$5)</f>
        <v>2146.3000000000002</v>
      </c>
      <c r="P53" s="119">
        <f t="shared" si="0"/>
        <v>6670.9621360000001</v>
      </c>
      <c r="Q53" s="150">
        <f>'FY 2025 IFC Table 1A-1E'!$B$33</f>
        <v>512.14</v>
      </c>
      <c r="R53" s="120">
        <f>IFERROR(VLOOKUP(C53,'FY25 IMPACT FILE IFC-OTHER TBLS'!$A$3:$BJ$52,48,FALSE),1)</f>
        <v>1.0071102997919843</v>
      </c>
      <c r="S53" s="119">
        <f t="shared" si="5"/>
        <v>515.78146893546682</v>
      </c>
      <c r="T53" s="121">
        <f t="shared" si="6"/>
        <v>7186.7436049354674</v>
      </c>
      <c r="U53" s="367">
        <f>IFERROR(VLOOKUP($C53,'GME Add-On Posting'!$A$8:$Q$30,17,FALSE),0)</f>
        <v>0</v>
      </c>
      <c r="V53" s="125">
        <f>IFERROR(VLOOKUP(C53,'FY25 IMPACT FILE IFC-OTHER TBLS'!$A$3:$BJ$55,23,FALSE),0)</f>
        <v>0</v>
      </c>
      <c r="W53" s="125">
        <f>IFERROR(VLOOKUP(C53,'FY25 IMPACT FILE IFC-OTHER TBLS'!$A$3:$BJ$55,24,FALSE),0)</f>
        <v>0</v>
      </c>
      <c r="X53" s="119">
        <f t="shared" si="10"/>
        <v>0</v>
      </c>
      <c r="Y53" s="119">
        <f t="shared" si="11"/>
        <v>0</v>
      </c>
      <c r="Z53" s="126">
        <f t="shared" si="7"/>
        <v>0</v>
      </c>
      <c r="AA53" s="473">
        <f>VLOOKUP(C53,'FY25 IMPACT FILE IFC-OTHER TBLS'!A51:BN102,66,FALSE)</f>
        <v>0.9954382692</v>
      </c>
      <c r="AB53" s="127">
        <f t="shared" si="8"/>
        <v>-30.431133441424969</v>
      </c>
      <c r="AC53" s="124">
        <f>VLOOKUP(C53,'FY25 IMPACT FILE IFC-OTHER TBLS'!A51:BN102,65,FALSE)</f>
        <v>0.99919999999999998</v>
      </c>
      <c r="AD53" s="127">
        <f t="shared" si="9"/>
        <v>-5.3367697088001531</v>
      </c>
      <c r="AE53" s="10" t="str">
        <f>VLOOKUP(C53,'FY25 IMPACT FILE IFC-OTHER TBLS'!A51:BL102,64,FALSE)</f>
        <v>Yes</v>
      </c>
      <c r="AF53" s="130">
        <f t="shared" si="3"/>
        <v>-0.01</v>
      </c>
      <c r="AG53" s="129">
        <f t="shared" si="12"/>
        <v>-71.86743604935468</v>
      </c>
    </row>
    <row r="54" spans="1:33" x14ac:dyDescent="0.25">
      <c r="A54" s="10">
        <v>1</v>
      </c>
      <c r="B54" s="15">
        <v>60132</v>
      </c>
      <c r="C54" s="21" t="s">
        <v>372</v>
      </c>
      <c r="D54" s="96" t="s">
        <v>373</v>
      </c>
      <c r="E54" s="96" t="s">
        <v>304</v>
      </c>
      <c r="F54" s="152" t="str">
        <f>VLOOKUP($B54,Characteristics!$A$2:$K$86,11,FALSE)</f>
        <v xml:space="preserve"> </v>
      </c>
      <c r="G54" s="213">
        <f>VLOOKUP($B54,Characteristics!$A$2:$K$86,3,FALSE)</f>
        <v>0</v>
      </c>
      <c r="H54" s="96"/>
      <c r="I54" s="96"/>
      <c r="J54" s="15">
        <v>60132</v>
      </c>
      <c r="K54" s="120" t="str">
        <f>IFERROR(VLOOKUP(C54,'FY25 IMPACT FILE IFC-OTHER TBLS'!$A$3:$BN$52,63,FALSE),"NA")</f>
        <v>00</v>
      </c>
      <c r="L54" s="22"/>
      <c r="M54" s="119">
        <f>IF(AND(N54&lt;=1,K54=0),'FY 2025 IFC Table 1A-1E'!$C$4,'FY 2025 IFC Table 1A-1E'!$B$4)</f>
        <v>4478.09</v>
      </c>
      <c r="N54" s="120">
        <f>IFERROR(VLOOKUP($C54,'FY25 IMPACT FILE IFC-OTHER TBLS'!$A$3:$BJ$52,12,FALSE),1)</f>
        <v>1.0083</v>
      </c>
      <c r="O54" s="119">
        <f>IF(N54&lt;=1,'FY 2025 IFC Table 1A-1E'!$C$5,'FY 2025 IFC Table 1A-1E'!$B$5)</f>
        <v>2146.3000000000002</v>
      </c>
      <c r="P54" s="119">
        <f t="shared" si="0"/>
        <v>6661.5581470000006</v>
      </c>
      <c r="Q54" s="150">
        <f>'FY 2025 IFC Table 1A-1E'!$B$33</f>
        <v>512.14</v>
      </c>
      <c r="R54" s="120">
        <f>IFERROR(VLOOKUP(C54,'FY25 IMPACT FILE IFC-OTHER TBLS'!$A$3:$BJ$52,48,FALSE),1)</f>
        <v>1.0056764320069</v>
      </c>
      <c r="S54" s="119">
        <f t="shared" si="5"/>
        <v>515.04712788801373</v>
      </c>
      <c r="T54" s="121">
        <f t="shared" si="6"/>
        <v>7176.6052748880147</v>
      </c>
      <c r="U54" s="367">
        <f>IFERROR(VLOOKUP($C54,'GME Add-On Posting'!$A$8:$Q$30,17,FALSE),0)</f>
        <v>0</v>
      </c>
      <c r="V54" s="125">
        <f>IFERROR(VLOOKUP(C54,'FY25 IMPACT FILE IFC-OTHER TBLS'!$A$3:$BJ$55,23,FALSE),0)</f>
        <v>0</v>
      </c>
      <c r="W54" s="125">
        <f>IFERROR(VLOOKUP(C54,'FY25 IMPACT FILE IFC-OTHER TBLS'!$A$3:$BJ$55,24,FALSE),0)</f>
        <v>0</v>
      </c>
      <c r="X54" s="119">
        <f t="shared" si="10"/>
        <v>0</v>
      </c>
      <c r="Y54" s="119">
        <f t="shared" si="11"/>
        <v>0</v>
      </c>
      <c r="Z54" s="126">
        <f>X54+Y54</f>
        <v>0</v>
      </c>
      <c r="AA54" s="473">
        <f>VLOOKUP(C54,'FY25 IMPACT FILE IFC-OTHER TBLS'!A52:BN103,66,FALSE)</f>
        <v>1.0119952536000001</v>
      </c>
      <c r="AB54" s="127">
        <f t="shared" si="8"/>
        <v>79.907079344411684</v>
      </c>
      <c r="AC54" s="124">
        <f>VLOOKUP(C54,'FY25 IMPACT FILE IFC-OTHER TBLS'!A52:BN103,65,FALSE)</f>
        <v>0.99980000000000002</v>
      </c>
      <c r="AD54" s="127">
        <f t="shared" si="9"/>
        <v>-1.3323116293998534</v>
      </c>
      <c r="AE54" s="10" t="str">
        <f>VLOOKUP(C54,'FY25 IMPACT FILE IFC-OTHER TBLS'!A52:BL103,64,FALSE)</f>
        <v>No</v>
      </c>
      <c r="AF54" s="130">
        <f t="shared" si="3"/>
        <v>0</v>
      </c>
      <c r="AG54" s="129">
        <f t="shared" si="12"/>
        <v>0</v>
      </c>
    </row>
    <row r="55" spans="1:33" x14ac:dyDescent="0.25">
      <c r="A55" s="10">
        <v>1</v>
      </c>
      <c r="B55" s="15">
        <v>60133</v>
      </c>
      <c r="C55" s="21" t="s">
        <v>374</v>
      </c>
      <c r="D55" s="96" t="s">
        <v>375</v>
      </c>
      <c r="E55" s="96" t="s">
        <v>376</v>
      </c>
      <c r="F55" s="152" t="s">
        <v>240</v>
      </c>
      <c r="G55" s="213">
        <f>VLOOKUP($B55,Characteristics!$A$2:$K$86,3,FALSE)</f>
        <v>0</v>
      </c>
      <c r="H55" s="96"/>
      <c r="I55" s="96"/>
      <c r="J55" s="15"/>
      <c r="K55" s="120" t="str">
        <f>IFERROR(VLOOKUP(C55,'FY25 IMPACT FILE IFC-OTHER TBLS'!$A$3:$BN$52,63,FALSE),"NA")</f>
        <v>NA</v>
      </c>
      <c r="L55" s="120" t="s">
        <v>377</v>
      </c>
      <c r="M55" s="120" t="s">
        <v>377</v>
      </c>
      <c r="N55" s="120" t="s">
        <v>377</v>
      </c>
      <c r="O55" s="120" t="s">
        <v>377</v>
      </c>
      <c r="P55" s="120" t="s">
        <v>377</v>
      </c>
      <c r="Q55" s="120" t="s">
        <v>377</v>
      </c>
      <c r="R55" s="120" t="s">
        <v>377</v>
      </c>
      <c r="S55" s="120" t="s">
        <v>377</v>
      </c>
      <c r="T55" s="120" t="s">
        <v>377</v>
      </c>
      <c r="U55" s="120" t="s">
        <v>377</v>
      </c>
      <c r="V55" s="125" t="str">
        <f>IFERROR(VLOOKUP(C55,'FY25 IMPACT FILE IFC-OTHER TBLS'!$A$3:$BJ$55,23,FALSE),0)</f>
        <v>NA</v>
      </c>
      <c r="W55" s="125" t="str">
        <f>IFERROR(VLOOKUP(C55,'FY25 IMPACT FILE IFC-OTHER TBLS'!$A$3:$BJ$55,24,FALSE),0)</f>
        <v>NA</v>
      </c>
      <c r="X55" s="120" t="s">
        <v>377</v>
      </c>
      <c r="Y55" s="120" t="s">
        <v>377</v>
      </c>
      <c r="Z55" s="120" t="s">
        <v>377</v>
      </c>
      <c r="AA55" s="151" t="str">
        <f>VLOOKUP(C55,'FY25 IMPACT FILE IFC-OTHER TBLS'!A53:BN104,66,FALSE)</f>
        <v>NA</v>
      </c>
      <c r="AB55" s="124" t="s">
        <v>377</v>
      </c>
      <c r="AC55" s="124" t="s">
        <v>377</v>
      </c>
      <c r="AD55" s="127" t="s">
        <v>377</v>
      </c>
      <c r="AE55" s="120" t="s">
        <v>377</v>
      </c>
      <c r="AF55" s="120" t="s">
        <v>377</v>
      </c>
      <c r="AG55" s="120" t="s">
        <v>377</v>
      </c>
    </row>
    <row r="56" spans="1:33" x14ac:dyDescent="0.25">
      <c r="A56" s="10">
        <v>13</v>
      </c>
      <c r="B56" s="15">
        <v>61300</v>
      </c>
      <c r="C56" s="16" t="s">
        <v>378</v>
      </c>
      <c r="D56" s="96" t="s">
        <v>379</v>
      </c>
      <c r="E56" s="96"/>
      <c r="F56" s="152" t="str">
        <f>VLOOKUP($B56,Characteristics!$A$2:$K$86,11,FALSE)</f>
        <v>CAH</v>
      </c>
      <c r="G56" s="213">
        <f>VLOOKUP($B56,Characteristics!$A$2:$K$86,3,FALSE)</f>
        <v>1</v>
      </c>
      <c r="H56" s="96"/>
      <c r="I56" s="96"/>
      <c r="J56" s="15">
        <v>61300</v>
      </c>
      <c r="K56" s="120" t="str">
        <f>IFERROR(VLOOKUP(C56,'FY25 IMPACT FILE IFC-OTHER TBLS'!$A$3:$BN$52,63,FALSE),"NA")</f>
        <v>NA</v>
      </c>
      <c r="L56" s="18"/>
      <c r="M56" s="119">
        <f>'FY 2025 IFC Table 1A-1E'!$D$4</f>
        <v>4107.12</v>
      </c>
      <c r="N56" s="120">
        <f>IFERROR(VLOOKUP($C56,'FY25 IMPACT FILE IFC-OTHER TBLS'!$A$3:$BJ$52,12,FALSE),1)</f>
        <v>1</v>
      </c>
      <c r="O56" s="119">
        <f>IF(N56&lt;=1,'FY 2025 IFC Table 1A-1E'!$C$5,'FY 2025 IFC Table 1A-1E'!$B$5)</f>
        <v>2517.27</v>
      </c>
      <c r="P56" s="119">
        <f t="shared" si="0"/>
        <v>6624.3899999999994</v>
      </c>
      <c r="Q56" s="150">
        <f>'FY 2025 IFC Table 1A-1E'!$B$33</f>
        <v>512.14</v>
      </c>
      <c r="R56" s="120">
        <f>IFERROR(VLOOKUP(C56,'FY25 IMPACT FILE IFC-OTHER TBLS'!$A$3:$BJ$52,48,FALSE),1)</f>
        <v>1</v>
      </c>
      <c r="S56" s="119">
        <f t="shared" si="5"/>
        <v>512.14</v>
      </c>
      <c r="T56" s="121">
        <f t="shared" si="6"/>
        <v>7136.53</v>
      </c>
      <c r="U56" s="367">
        <f>IFERROR(VLOOKUP($C56,'GME Add-On Posting'!$A$8:$Q$30,17,FALSE),0)</f>
        <v>0</v>
      </c>
      <c r="V56" s="125">
        <f>IFERROR(VLOOKUP(C56,'FY25 IMPACT FILE IFC-OTHER TBLS'!$A$3:$BJ$55,23,FALSE),0)</f>
        <v>0</v>
      </c>
      <c r="W56" s="125">
        <f>IFERROR(VLOOKUP(C56,'FY25 IMPACT FILE IFC-OTHER TBLS'!$A$3:$BJ$55,24,FALSE),0)</f>
        <v>0</v>
      </c>
      <c r="X56" s="119">
        <f t="shared" si="10"/>
        <v>0</v>
      </c>
      <c r="Y56" s="119">
        <f t="shared" si="11"/>
        <v>0</v>
      </c>
      <c r="Z56" s="126">
        <f t="shared" si="7"/>
        <v>0</v>
      </c>
      <c r="AA56" s="151" t="s">
        <v>377</v>
      </c>
      <c r="AB56" s="127">
        <f t="shared" si="8"/>
        <v>0</v>
      </c>
      <c r="AC56" s="124" t="s">
        <v>377</v>
      </c>
      <c r="AD56" s="127" t="s">
        <v>377</v>
      </c>
      <c r="AE56" s="10" t="s">
        <v>377</v>
      </c>
      <c r="AF56" s="130">
        <f t="shared" si="3"/>
        <v>0</v>
      </c>
      <c r="AG56" s="129">
        <f t="shared" si="12"/>
        <v>0</v>
      </c>
    </row>
    <row r="57" spans="1:33" x14ac:dyDescent="0.25">
      <c r="A57" s="10">
        <v>13</v>
      </c>
      <c r="B57" s="15">
        <v>61301</v>
      </c>
      <c r="C57" s="16" t="s">
        <v>380</v>
      </c>
      <c r="D57" s="96" t="s">
        <v>381</v>
      </c>
      <c r="E57" s="96"/>
      <c r="F57" s="152" t="str">
        <f>VLOOKUP($B57,Characteristics!$A$2:$K$86,11,FALSE)</f>
        <v>CAH</v>
      </c>
      <c r="G57" s="213">
        <f>VLOOKUP($B57,Characteristics!$A$2:$K$86,3,FALSE)</f>
        <v>1</v>
      </c>
      <c r="H57" s="96"/>
      <c r="I57" s="96"/>
      <c r="J57" s="15">
        <v>61301</v>
      </c>
      <c r="K57" s="120" t="str">
        <f>IFERROR(VLOOKUP(C57,'FY25 IMPACT FILE IFC-OTHER TBLS'!$A$3:$BN$52,63,FALSE),"NA")</f>
        <v>NA</v>
      </c>
      <c r="L57" s="18"/>
      <c r="M57" s="119">
        <f>'FY 2025 IFC Table 1A-1E'!$D$4</f>
        <v>4107.12</v>
      </c>
      <c r="N57" s="120">
        <f>IFERROR(VLOOKUP($C57,'FY25 IMPACT FILE IFC-OTHER TBLS'!$A$3:$BJ$52,12,FALSE),1)</f>
        <v>1</v>
      </c>
      <c r="O57" s="119">
        <f>IF(N57&lt;=1,'FY 2025 IFC Table 1A-1E'!$C$5,'FY 2025 IFC Table 1A-1E'!$B$5)</f>
        <v>2517.27</v>
      </c>
      <c r="P57" s="119">
        <f t="shared" si="0"/>
        <v>6624.3899999999994</v>
      </c>
      <c r="Q57" s="150">
        <f>'FY 2025 IFC Table 1A-1E'!$B$33</f>
        <v>512.14</v>
      </c>
      <c r="R57" s="120">
        <f>IFERROR(VLOOKUP(C57,'FY25 IMPACT FILE IFC-OTHER TBLS'!$A$3:$BJ$52,48,FALSE),1)</f>
        <v>1</v>
      </c>
      <c r="S57" s="119">
        <f t="shared" si="5"/>
        <v>512.14</v>
      </c>
      <c r="T57" s="121">
        <f t="shared" si="6"/>
        <v>7136.53</v>
      </c>
      <c r="U57" s="367">
        <f>IFERROR(VLOOKUP($C57,'GME Add-On Posting'!$A$8:$Q$30,17,FALSE),0)</f>
        <v>0</v>
      </c>
      <c r="V57" s="125">
        <f>IFERROR(VLOOKUP(C57,'FY25 IMPACT FILE IFC-OTHER TBLS'!$A$3:$BJ$55,23,FALSE),0)</f>
        <v>0</v>
      </c>
      <c r="W57" s="125">
        <f>IFERROR(VLOOKUP(C57,'FY25 IMPACT FILE IFC-OTHER TBLS'!$A$3:$BJ$55,24,FALSE),0)</f>
        <v>0</v>
      </c>
      <c r="X57" s="119">
        <f t="shared" si="10"/>
        <v>0</v>
      </c>
      <c r="Y57" s="119">
        <f t="shared" si="11"/>
        <v>0</v>
      </c>
      <c r="Z57" s="126">
        <f t="shared" si="7"/>
        <v>0</v>
      </c>
      <c r="AA57" s="151" t="s">
        <v>377</v>
      </c>
      <c r="AB57" s="127">
        <f t="shared" si="8"/>
        <v>0</v>
      </c>
      <c r="AC57" s="124" t="s">
        <v>377</v>
      </c>
      <c r="AD57" s="127" t="s">
        <v>377</v>
      </c>
      <c r="AE57" s="10" t="s">
        <v>377</v>
      </c>
      <c r="AF57" s="130">
        <f t="shared" si="3"/>
        <v>0</v>
      </c>
      <c r="AG57" s="129">
        <f t="shared" si="12"/>
        <v>0</v>
      </c>
    </row>
    <row r="58" spans="1:33" x14ac:dyDescent="0.25">
      <c r="A58" s="10">
        <v>13</v>
      </c>
      <c r="B58" s="15">
        <v>61302</v>
      </c>
      <c r="C58" s="16" t="s">
        <v>382</v>
      </c>
      <c r="D58" s="96" t="s">
        <v>383</v>
      </c>
      <c r="E58" s="96"/>
      <c r="F58" s="152" t="str">
        <f>VLOOKUP($B58,Characteristics!$A$2:$K$86,11,FALSE)</f>
        <v>CAH</v>
      </c>
      <c r="G58" s="213">
        <f>VLOOKUP($B58,Characteristics!$A$2:$K$86,3,FALSE)</f>
        <v>0</v>
      </c>
      <c r="H58" s="96"/>
      <c r="I58" s="96"/>
      <c r="J58" s="15">
        <v>61302</v>
      </c>
      <c r="K58" s="120" t="str">
        <f>IFERROR(VLOOKUP(C58,'FY25 IMPACT FILE IFC-OTHER TBLS'!$A$3:$BN$52,63,FALSE),"NA")</f>
        <v>NA</v>
      </c>
      <c r="L58" s="18"/>
      <c r="M58" s="119">
        <f>'FY 2025 IFC Table 1A-1E'!$D$4</f>
        <v>4107.12</v>
      </c>
      <c r="N58" s="120">
        <f>IFERROR(VLOOKUP($C58,'FY25 IMPACT FILE IFC-OTHER TBLS'!$A$3:$BJ$52,12,FALSE),1)</f>
        <v>1</v>
      </c>
      <c r="O58" s="119">
        <f>IF(N58&lt;=1,'FY 2025 IFC Table 1A-1E'!$C$5,'FY 2025 IFC Table 1A-1E'!$B$5)</f>
        <v>2517.27</v>
      </c>
      <c r="P58" s="119">
        <f t="shared" si="0"/>
        <v>6624.3899999999994</v>
      </c>
      <c r="Q58" s="150">
        <f>'FY 2025 IFC Table 1A-1E'!$B$33</f>
        <v>512.14</v>
      </c>
      <c r="R58" s="120">
        <f>IFERROR(VLOOKUP(C58,'FY25 IMPACT FILE IFC-OTHER TBLS'!$A$3:$BJ$52,48,FALSE),1)</f>
        <v>1</v>
      </c>
      <c r="S58" s="119">
        <f t="shared" si="5"/>
        <v>512.14</v>
      </c>
      <c r="T58" s="121">
        <f t="shared" si="6"/>
        <v>7136.53</v>
      </c>
      <c r="U58" s="367">
        <f>IFERROR(VLOOKUP($C58,'GME Add-On Posting'!$A$8:$Q$30,17,FALSE),0)</f>
        <v>0</v>
      </c>
      <c r="V58" s="125">
        <f>IFERROR(VLOOKUP(C58,'FY25 IMPACT FILE IFC-OTHER TBLS'!$A$3:$BJ$55,23,FALSE),0)</f>
        <v>0</v>
      </c>
      <c r="W58" s="125">
        <f>IFERROR(VLOOKUP(C58,'FY25 IMPACT FILE IFC-OTHER TBLS'!$A$3:$BJ$55,24,FALSE),0)</f>
        <v>0</v>
      </c>
      <c r="X58" s="119">
        <f t="shared" si="10"/>
        <v>0</v>
      </c>
      <c r="Y58" s="119">
        <f t="shared" si="11"/>
        <v>0</v>
      </c>
      <c r="Z58" s="126">
        <f t="shared" si="7"/>
        <v>0</v>
      </c>
      <c r="AA58" s="151" t="s">
        <v>377</v>
      </c>
      <c r="AB58" s="127">
        <f t="shared" si="8"/>
        <v>0</v>
      </c>
      <c r="AC58" s="124" t="s">
        <v>377</v>
      </c>
      <c r="AD58" s="127" t="s">
        <v>377</v>
      </c>
      <c r="AE58" s="10" t="s">
        <v>377</v>
      </c>
      <c r="AF58" s="130">
        <f t="shared" si="3"/>
        <v>0</v>
      </c>
      <c r="AG58" s="129">
        <f t="shared" si="12"/>
        <v>0</v>
      </c>
    </row>
    <row r="59" spans="1:33" x14ac:dyDescent="0.25">
      <c r="A59" s="10">
        <v>13</v>
      </c>
      <c r="B59" s="15">
        <v>61303</v>
      </c>
      <c r="C59" s="16" t="s">
        <v>384</v>
      </c>
      <c r="D59" s="96" t="s">
        <v>385</v>
      </c>
      <c r="E59" s="96" t="s">
        <v>289</v>
      </c>
      <c r="F59" s="152" t="str">
        <f>VLOOKUP($B59,Characteristics!$A$2:$K$86,11,FALSE)</f>
        <v>CAH</v>
      </c>
      <c r="G59" s="213">
        <f>VLOOKUP($B59,Characteristics!$A$2:$K$86,3,FALSE)</f>
        <v>1</v>
      </c>
      <c r="H59" s="96"/>
      <c r="I59" s="96"/>
      <c r="J59" s="15">
        <v>61303</v>
      </c>
      <c r="K59" s="120" t="str">
        <f>IFERROR(VLOOKUP(C59,'FY25 IMPACT FILE IFC-OTHER TBLS'!$A$3:$BN$52,63,FALSE),"NA")</f>
        <v>NA</v>
      </c>
      <c r="L59" s="18"/>
      <c r="M59" s="119">
        <f>'FY 2025 IFC Table 1A-1E'!$D$4</f>
        <v>4107.12</v>
      </c>
      <c r="N59" s="120">
        <f>IFERROR(VLOOKUP($C59,'FY25 IMPACT FILE IFC-OTHER TBLS'!$A$3:$BJ$52,12,FALSE),1)</f>
        <v>1</v>
      </c>
      <c r="O59" s="119">
        <f>IF(N59&lt;=1,'FY 2025 IFC Table 1A-1E'!$C$5,'FY 2025 IFC Table 1A-1E'!$B$5)</f>
        <v>2517.27</v>
      </c>
      <c r="P59" s="119">
        <f t="shared" si="0"/>
        <v>6624.3899999999994</v>
      </c>
      <c r="Q59" s="150">
        <f>'FY 2025 IFC Table 1A-1E'!$B$33</f>
        <v>512.14</v>
      </c>
      <c r="R59" s="120">
        <f>IFERROR(VLOOKUP(C59,'FY25 IMPACT FILE IFC-OTHER TBLS'!$A$3:$BJ$52,48,FALSE),1)</f>
        <v>1</v>
      </c>
      <c r="S59" s="119">
        <f t="shared" si="5"/>
        <v>512.14</v>
      </c>
      <c r="T59" s="121">
        <f t="shared" si="6"/>
        <v>7136.53</v>
      </c>
      <c r="U59" s="367">
        <f>IFERROR(VLOOKUP($C59,'GME Add-On Posting'!$A$8:$Q$30,17,FALSE),0)</f>
        <v>0</v>
      </c>
      <c r="V59" s="125">
        <f>IFERROR(VLOOKUP(C59,'FY25 IMPACT FILE IFC-OTHER TBLS'!$A$3:$BJ$55,23,FALSE),0)</f>
        <v>0</v>
      </c>
      <c r="W59" s="125">
        <f>IFERROR(VLOOKUP(C59,'FY25 IMPACT FILE IFC-OTHER TBLS'!$A$3:$BJ$55,24,FALSE),0)</f>
        <v>0</v>
      </c>
      <c r="X59" s="119">
        <f t="shared" si="10"/>
        <v>0</v>
      </c>
      <c r="Y59" s="119">
        <f t="shared" si="11"/>
        <v>0</v>
      </c>
      <c r="Z59" s="126">
        <f t="shared" si="7"/>
        <v>0</v>
      </c>
      <c r="AA59" s="151" t="s">
        <v>377</v>
      </c>
      <c r="AB59" s="127">
        <f t="shared" si="8"/>
        <v>0</v>
      </c>
      <c r="AC59" s="124" t="s">
        <v>377</v>
      </c>
      <c r="AD59" s="127" t="s">
        <v>377</v>
      </c>
      <c r="AE59" s="10" t="s">
        <v>377</v>
      </c>
      <c r="AF59" s="130">
        <f t="shared" si="3"/>
        <v>0</v>
      </c>
      <c r="AG59" s="129">
        <f t="shared" si="12"/>
        <v>0</v>
      </c>
    </row>
    <row r="60" spans="1:33" x14ac:dyDescent="0.25">
      <c r="A60" s="10">
        <v>13</v>
      </c>
      <c r="B60" s="15">
        <v>61304</v>
      </c>
      <c r="C60" s="16" t="s">
        <v>386</v>
      </c>
      <c r="D60" s="96" t="s">
        <v>387</v>
      </c>
      <c r="E60" s="96"/>
      <c r="F60" s="152" t="str">
        <f>VLOOKUP($B60,Characteristics!$A$2:$K$86,11,FALSE)</f>
        <v>CAH</v>
      </c>
      <c r="G60" s="213">
        <f>VLOOKUP($B60,Characteristics!$A$2:$K$86,3,FALSE)</f>
        <v>1</v>
      </c>
      <c r="H60" s="96"/>
      <c r="I60" s="96"/>
      <c r="J60" s="15">
        <v>61304</v>
      </c>
      <c r="K60" s="120" t="str">
        <f>IFERROR(VLOOKUP(C60,'FY25 IMPACT FILE IFC-OTHER TBLS'!$A$3:$BN$52,63,FALSE),"NA")</f>
        <v>NA</v>
      </c>
      <c r="L60" s="18"/>
      <c r="M60" s="119">
        <f>'FY 2025 IFC Table 1A-1E'!$D$4</f>
        <v>4107.12</v>
      </c>
      <c r="N60" s="120">
        <f>IFERROR(VLOOKUP($C60,'FY25 IMPACT FILE IFC-OTHER TBLS'!$A$3:$BJ$52,12,FALSE),1)</f>
        <v>1</v>
      </c>
      <c r="O60" s="119">
        <f>IF(N60&lt;=1,'FY 2025 IFC Table 1A-1E'!$C$5,'FY 2025 IFC Table 1A-1E'!$B$5)</f>
        <v>2517.27</v>
      </c>
      <c r="P60" s="119">
        <f t="shared" si="0"/>
        <v>6624.3899999999994</v>
      </c>
      <c r="Q60" s="150">
        <f>'FY 2025 IFC Table 1A-1E'!$B$33</f>
        <v>512.14</v>
      </c>
      <c r="R60" s="120">
        <f>IFERROR(VLOOKUP(C60,'FY25 IMPACT FILE IFC-OTHER TBLS'!$A$3:$BJ$52,48,FALSE),1)</f>
        <v>1</v>
      </c>
      <c r="S60" s="119">
        <f t="shared" si="5"/>
        <v>512.14</v>
      </c>
      <c r="T60" s="121">
        <f t="shared" si="6"/>
        <v>7136.53</v>
      </c>
      <c r="U60" s="367">
        <f>IFERROR(VLOOKUP($C60,'GME Add-On Posting'!$A$8:$Q$30,17,FALSE),0)</f>
        <v>0</v>
      </c>
      <c r="V60" s="125">
        <f>IFERROR(VLOOKUP(C60,'FY25 IMPACT FILE IFC-OTHER TBLS'!$A$3:$BJ$55,23,FALSE),0)</f>
        <v>0</v>
      </c>
      <c r="W60" s="125">
        <f>IFERROR(VLOOKUP(C60,'FY25 IMPACT FILE IFC-OTHER TBLS'!$A$3:$BJ$55,24,FALSE),0)</f>
        <v>0</v>
      </c>
      <c r="X60" s="119">
        <f t="shared" si="10"/>
        <v>0</v>
      </c>
      <c r="Y60" s="119">
        <f t="shared" si="11"/>
        <v>0</v>
      </c>
      <c r="Z60" s="126">
        <f t="shared" si="7"/>
        <v>0</v>
      </c>
      <c r="AA60" s="151" t="s">
        <v>377</v>
      </c>
      <c r="AB60" s="127">
        <f t="shared" si="8"/>
        <v>0</v>
      </c>
      <c r="AC60" s="124" t="s">
        <v>377</v>
      </c>
      <c r="AD60" s="127" t="s">
        <v>377</v>
      </c>
      <c r="AE60" s="10" t="s">
        <v>377</v>
      </c>
      <c r="AF60" s="130">
        <f t="shared" si="3"/>
        <v>0</v>
      </c>
      <c r="AG60" s="129">
        <f t="shared" si="12"/>
        <v>0</v>
      </c>
    </row>
    <row r="61" spans="1:33" x14ac:dyDescent="0.25">
      <c r="A61" s="10">
        <v>13</v>
      </c>
      <c r="B61" s="15">
        <v>61305</v>
      </c>
      <c r="C61" s="16" t="s">
        <v>388</v>
      </c>
      <c r="D61" s="96" t="s">
        <v>389</v>
      </c>
      <c r="E61" s="96"/>
      <c r="F61" s="152" t="str">
        <f>VLOOKUP($B61,Characteristics!$A$2:$K$86,11,FALSE)</f>
        <v>CAH</v>
      </c>
      <c r="G61" s="213">
        <f>VLOOKUP($B61,Characteristics!$A$2:$K$86,3,FALSE)</f>
        <v>1</v>
      </c>
      <c r="H61" s="96"/>
      <c r="I61" s="96"/>
      <c r="J61" s="15">
        <v>61305</v>
      </c>
      <c r="K61" s="120" t="str">
        <f>IFERROR(VLOOKUP(C61,'FY25 IMPACT FILE IFC-OTHER TBLS'!$A$3:$BN$52,63,FALSE),"NA")</f>
        <v>NA</v>
      </c>
      <c r="L61" s="18"/>
      <c r="M61" s="119">
        <f>'FY 2025 IFC Table 1A-1E'!$D$4</f>
        <v>4107.12</v>
      </c>
      <c r="N61" s="120">
        <f>IFERROR(VLOOKUP($C61,'FY25 IMPACT FILE IFC-OTHER TBLS'!$A$3:$BJ$52,12,FALSE),1)</f>
        <v>1</v>
      </c>
      <c r="O61" s="119">
        <f>IF(N61&lt;=1,'FY 2025 IFC Table 1A-1E'!$C$5,'FY 2025 IFC Table 1A-1E'!$B$5)</f>
        <v>2517.27</v>
      </c>
      <c r="P61" s="119">
        <f t="shared" si="0"/>
        <v>6624.3899999999994</v>
      </c>
      <c r="Q61" s="150">
        <f>'FY 2025 IFC Table 1A-1E'!$B$33</f>
        <v>512.14</v>
      </c>
      <c r="R61" s="120">
        <f>IFERROR(VLOOKUP(C61,'FY25 IMPACT FILE IFC-OTHER TBLS'!$A$3:$BJ$52,48,FALSE),1)</f>
        <v>1</v>
      </c>
      <c r="S61" s="119">
        <f t="shared" si="5"/>
        <v>512.14</v>
      </c>
      <c r="T61" s="121">
        <f t="shared" si="6"/>
        <v>7136.53</v>
      </c>
      <c r="U61" s="367">
        <f>IFERROR(VLOOKUP($C61,'GME Add-On Posting'!$A$8:$Q$30,17,FALSE),0)</f>
        <v>0</v>
      </c>
      <c r="V61" s="125">
        <f>IFERROR(VLOOKUP(C61,'FY25 IMPACT FILE IFC-OTHER TBLS'!$A$3:$BJ$55,23,FALSE),0)</f>
        <v>0</v>
      </c>
      <c r="W61" s="125">
        <f>IFERROR(VLOOKUP(C61,'FY25 IMPACT FILE IFC-OTHER TBLS'!$A$3:$BJ$55,24,FALSE),0)</f>
        <v>0</v>
      </c>
      <c r="X61" s="119">
        <f t="shared" si="10"/>
        <v>0</v>
      </c>
      <c r="Y61" s="119">
        <f t="shared" si="11"/>
        <v>0</v>
      </c>
      <c r="Z61" s="126">
        <f t="shared" si="7"/>
        <v>0</v>
      </c>
      <c r="AA61" s="151" t="s">
        <v>377</v>
      </c>
      <c r="AB61" s="127">
        <f t="shared" si="8"/>
        <v>0</v>
      </c>
      <c r="AC61" s="124" t="s">
        <v>377</v>
      </c>
      <c r="AD61" s="127" t="s">
        <v>377</v>
      </c>
      <c r="AE61" s="10" t="s">
        <v>377</v>
      </c>
      <c r="AF61" s="130">
        <f t="shared" si="3"/>
        <v>0</v>
      </c>
      <c r="AG61" s="129">
        <f t="shared" si="12"/>
        <v>0</v>
      </c>
    </row>
    <row r="62" spans="1:33" x14ac:dyDescent="0.25">
      <c r="A62" s="10">
        <v>13</v>
      </c>
      <c r="B62" s="15">
        <v>61306</v>
      </c>
      <c r="C62" s="16" t="s">
        <v>390</v>
      </c>
      <c r="D62" s="96" t="s">
        <v>391</v>
      </c>
      <c r="E62" s="96"/>
      <c r="F62" s="152" t="str">
        <f>VLOOKUP($B62,Characteristics!$A$2:$K$86,11,FALSE)</f>
        <v>CAH</v>
      </c>
      <c r="G62" s="213">
        <f>VLOOKUP($B62,Characteristics!$A$2:$K$86,3,FALSE)</f>
        <v>1</v>
      </c>
      <c r="H62" s="96"/>
      <c r="I62" s="96"/>
      <c r="J62" s="15">
        <v>61306</v>
      </c>
      <c r="K62" s="120" t="str">
        <f>IFERROR(VLOOKUP(C62,'FY25 IMPACT FILE IFC-OTHER TBLS'!$A$3:$BN$52,63,FALSE),"NA")</f>
        <v>NA</v>
      </c>
      <c r="L62" s="18"/>
      <c r="M62" s="119">
        <f>'FY 2025 IFC Table 1A-1E'!$D$4</f>
        <v>4107.12</v>
      </c>
      <c r="N62" s="120">
        <f>IFERROR(VLOOKUP($C62,'FY25 IMPACT FILE IFC-OTHER TBLS'!$A$3:$BJ$52,12,FALSE),1)</f>
        <v>1</v>
      </c>
      <c r="O62" s="119">
        <f>IF(N62&lt;=1,'FY 2025 IFC Table 1A-1E'!$C$5,'FY 2025 IFC Table 1A-1E'!$B$5)</f>
        <v>2517.27</v>
      </c>
      <c r="P62" s="119">
        <f t="shared" si="0"/>
        <v>6624.3899999999994</v>
      </c>
      <c r="Q62" s="150">
        <f>'FY 2025 IFC Table 1A-1E'!$B$33</f>
        <v>512.14</v>
      </c>
      <c r="R62" s="120">
        <f>IFERROR(VLOOKUP(C62,'FY25 IMPACT FILE IFC-OTHER TBLS'!$A$3:$BJ$52,48,FALSE),1)</f>
        <v>1</v>
      </c>
      <c r="S62" s="119">
        <f t="shared" si="5"/>
        <v>512.14</v>
      </c>
      <c r="T62" s="121">
        <f t="shared" si="6"/>
        <v>7136.53</v>
      </c>
      <c r="U62" s="367">
        <f>IFERROR(VLOOKUP($C62,'GME Add-On Posting'!$A$8:$Q$30,17,FALSE),0)</f>
        <v>0</v>
      </c>
      <c r="V62" s="125">
        <f>IFERROR(VLOOKUP(C62,'FY25 IMPACT FILE IFC-OTHER TBLS'!$A$3:$BJ$55,23,FALSE),0)</f>
        <v>0</v>
      </c>
      <c r="W62" s="125">
        <f>IFERROR(VLOOKUP(C62,'FY25 IMPACT FILE IFC-OTHER TBLS'!$A$3:$BJ$55,24,FALSE),0)</f>
        <v>0</v>
      </c>
      <c r="X62" s="119">
        <f t="shared" si="10"/>
        <v>0</v>
      </c>
      <c r="Y62" s="119">
        <f t="shared" si="11"/>
        <v>0</v>
      </c>
      <c r="Z62" s="126">
        <f t="shared" si="7"/>
        <v>0</v>
      </c>
      <c r="AA62" s="151" t="s">
        <v>377</v>
      </c>
      <c r="AB62" s="127">
        <f t="shared" si="8"/>
        <v>0</v>
      </c>
      <c r="AC62" s="124" t="s">
        <v>377</v>
      </c>
      <c r="AD62" s="127" t="s">
        <v>377</v>
      </c>
      <c r="AE62" s="10" t="s">
        <v>377</v>
      </c>
      <c r="AF62" s="130">
        <f t="shared" si="3"/>
        <v>0</v>
      </c>
      <c r="AG62" s="129">
        <f t="shared" si="12"/>
        <v>0</v>
      </c>
    </row>
    <row r="63" spans="1:33" x14ac:dyDescent="0.25">
      <c r="A63" s="10">
        <v>13</v>
      </c>
      <c r="B63" s="15">
        <v>61307</v>
      </c>
      <c r="C63" s="16" t="s">
        <v>392</v>
      </c>
      <c r="D63" s="96" t="s">
        <v>393</v>
      </c>
      <c r="E63" s="96"/>
      <c r="F63" s="152" t="str">
        <f>VLOOKUP($B63,Characteristics!$A$2:$K$86,11,FALSE)</f>
        <v>CAH</v>
      </c>
      <c r="G63" s="213">
        <f>VLOOKUP($B63,Characteristics!$A$2:$K$86,3,FALSE)</f>
        <v>1</v>
      </c>
      <c r="H63" s="96"/>
      <c r="I63" s="96"/>
      <c r="J63" s="15">
        <v>61307</v>
      </c>
      <c r="K63" s="120" t="str">
        <f>IFERROR(VLOOKUP(C63,'FY25 IMPACT FILE IFC-OTHER TBLS'!$A$3:$BN$52,63,FALSE),"NA")</f>
        <v>NA</v>
      </c>
      <c r="L63" s="18"/>
      <c r="M63" s="119">
        <f>'FY 2025 IFC Table 1A-1E'!$D$4</f>
        <v>4107.12</v>
      </c>
      <c r="N63" s="120">
        <f>IFERROR(VLOOKUP($C63,'FY25 IMPACT FILE IFC-OTHER TBLS'!$A$3:$BJ$52,12,FALSE),1)</f>
        <v>1</v>
      </c>
      <c r="O63" s="119">
        <f>IF(N63&lt;=1,'FY 2025 IFC Table 1A-1E'!$C$5,'FY 2025 IFC Table 1A-1E'!$B$5)</f>
        <v>2517.27</v>
      </c>
      <c r="P63" s="119">
        <f t="shared" si="0"/>
        <v>6624.3899999999994</v>
      </c>
      <c r="Q63" s="150">
        <f>'FY 2025 IFC Table 1A-1E'!$B$33</f>
        <v>512.14</v>
      </c>
      <c r="R63" s="120">
        <f>IFERROR(VLOOKUP(C63,'FY25 IMPACT FILE IFC-OTHER TBLS'!$A$3:$BJ$52,48,FALSE),1)</f>
        <v>1</v>
      </c>
      <c r="S63" s="119">
        <f t="shared" si="5"/>
        <v>512.14</v>
      </c>
      <c r="T63" s="121">
        <f t="shared" si="6"/>
        <v>7136.53</v>
      </c>
      <c r="U63" s="367">
        <f>IFERROR(VLOOKUP($C63,'GME Add-On Posting'!$A$8:$Q$30,17,FALSE),0)</f>
        <v>0</v>
      </c>
      <c r="V63" s="125">
        <f>IFERROR(VLOOKUP(C63,'FY25 IMPACT FILE IFC-OTHER TBLS'!$A$3:$BJ$55,23,FALSE),0)</f>
        <v>0</v>
      </c>
      <c r="W63" s="125">
        <f>IFERROR(VLOOKUP(C63,'FY25 IMPACT FILE IFC-OTHER TBLS'!$A$3:$BJ$55,24,FALSE),0)</f>
        <v>0</v>
      </c>
      <c r="X63" s="119">
        <f t="shared" si="10"/>
        <v>0</v>
      </c>
      <c r="Y63" s="119">
        <f t="shared" si="11"/>
        <v>0</v>
      </c>
      <c r="Z63" s="126">
        <f t="shared" si="7"/>
        <v>0</v>
      </c>
      <c r="AA63" s="151" t="s">
        <v>377</v>
      </c>
      <c r="AB63" s="127">
        <f t="shared" si="8"/>
        <v>0</v>
      </c>
      <c r="AC63" s="124" t="s">
        <v>377</v>
      </c>
      <c r="AD63" s="127" t="s">
        <v>377</v>
      </c>
      <c r="AE63" s="10" t="s">
        <v>377</v>
      </c>
      <c r="AF63" s="130">
        <f t="shared" si="3"/>
        <v>0</v>
      </c>
      <c r="AG63" s="129">
        <f t="shared" si="12"/>
        <v>0</v>
      </c>
    </row>
    <row r="64" spans="1:33" s="6" customFormat="1" x14ac:dyDescent="0.25">
      <c r="A64" s="48">
        <v>13</v>
      </c>
      <c r="B64" s="49">
        <v>61308</v>
      </c>
      <c r="C64" s="50" t="s">
        <v>394</v>
      </c>
      <c r="D64" s="96" t="s">
        <v>395</v>
      </c>
      <c r="E64" s="96" t="s">
        <v>300</v>
      </c>
      <c r="F64" s="152" t="str">
        <f>VLOOKUP($B64,Characteristics!$A$2:$K$86,11,FALSE)</f>
        <v>CAH</v>
      </c>
      <c r="G64" s="213">
        <f>VLOOKUP($B64,Characteristics!$A$2:$K$86,3,FALSE)</f>
        <v>1</v>
      </c>
      <c r="H64" s="111"/>
      <c r="I64" s="111"/>
      <c r="J64" s="15">
        <v>61308</v>
      </c>
      <c r="K64" s="120" t="str">
        <f>IFERROR(VLOOKUP(C64,'FY25 IMPACT FILE IFC-OTHER TBLS'!$A$3:$BN$52,63,FALSE),"NA")</f>
        <v>NA</v>
      </c>
      <c r="L64" s="51"/>
      <c r="M64" s="119">
        <f>'FY 2025 IFC Table 1A-1E'!$D$4</f>
        <v>4107.12</v>
      </c>
      <c r="N64" s="120">
        <f>IFERROR(VLOOKUP($C64,'FY25 IMPACT FILE IFC-OTHER TBLS'!$A$3:$BJ$52,12,FALSE),1)</f>
        <v>1</v>
      </c>
      <c r="O64" s="119">
        <f>IF(N64&lt;=1,'FY 2025 IFC Table 1A-1E'!$C$5,'FY 2025 IFC Table 1A-1E'!$B$5)</f>
        <v>2517.27</v>
      </c>
      <c r="P64" s="122">
        <f t="shared" si="0"/>
        <v>6624.3899999999994</v>
      </c>
      <c r="Q64" s="150">
        <f>'FY 2025 IFC Table 1A-1E'!$B$33</f>
        <v>512.14</v>
      </c>
      <c r="R64" s="120">
        <f>IFERROR(VLOOKUP(C64,'FY25 IMPACT FILE IFC-OTHER TBLS'!$A$3:$BJ$52,48,FALSE),1)</f>
        <v>1</v>
      </c>
      <c r="S64" s="122">
        <f t="shared" si="5"/>
        <v>512.14</v>
      </c>
      <c r="T64" s="123">
        <f t="shared" si="6"/>
        <v>7136.53</v>
      </c>
      <c r="U64" s="367">
        <f>IFERROR(VLOOKUP($C64,'GME Add-On Posting'!$A$8:$Q$30,17,FALSE),0)</f>
        <v>0</v>
      </c>
      <c r="V64" s="125">
        <f>IFERROR(VLOOKUP(C64,'FY25 IMPACT FILE IFC-OTHER TBLS'!$A$3:$BJ$55,23,FALSE),0)</f>
        <v>0</v>
      </c>
      <c r="W64" s="125">
        <f>IFERROR(VLOOKUP(C64,'FY25 IMPACT FILE IFC-OTHER TBLS'!$A$3:$BJ$55,24,FALSE),0)</f>
        <v>0</v>
      </c>
      <c r="X64" s="122">
        <f t="shared" si="10"/>
        <v>0</v>
      </c>
      <c r="Y64" s="122">
        <f t="shared" si="11"/>
        <v>0</v>
      </c>
      <c r="Z64" s="126">
        <f t="shared" si="7"/>
        <v>0</v>
      </c>
      <c r="AA64" s="151" t="s">
        <v>377</v>
      </c>
      <c r="AB64" s="127">
        <f t="shared" si="8"/>
        <v>0</v>
      </c>
      <c r="AC64" s="124" t="s">
        <v>377</v>
      </c>
      <c r="AD64" s="127" t="s">
        <v>377</v>
      </c>
      <c r="AE64" s="10" t="s">
        <v>377</v>
      </c>
      <c r="AF64" s="131">
        <f t="shared" si="3"/>
        <v>0</v>
      </c>
      <c r="AG64" s="129">
        <f t="shared" si="12"/>
        <v>0</v>
      </c>
    </row>
    <row r="65" spans="1:33" x14ac:dyDescent="0.25">
      <c r="A65" s="10">
        <v>13</v>
      </c>
      <c r="B65" s="15">
        <v>61309</v>
      </c>
      <c r="C65" s="16" t="s">
        <v>164</v>
      </c>
      <c r="D65" s="96" t="s">
        <v>219</v>
      </c>
      <c r="E65" s="96"/>
      <c r="F65" s="152" t="str">
        <f>VLOOKUP($B65,Characteristics!$A$2:$K$86,11,FALSE)</f>
        <v>CAH</v>
      </c>
      <c r="G65" s="213">
        <f>VLOOKUP($B65,Characteristics!$A$2:$K$86,3,FALSE)</f>
        <v>1</v>
      </c>
      <c r="H65" s="96"/>
      <c r="I65" s="96"/>
      <c r="J65" s="15">
        <v>61309</v>
      </c>
      <c r="K65" s="120" t="str">
        <f>IFERROR(VLOOKUP(C65,'FY25 IMPACT FILE IFC-OTHER TBLS'!$A$3:$BN$52,63,FALSE),"NA")</f>
        <v>NA</v>
      </c>
      <c r="L65" s="18"/>
      <c r="M65" s="119">
        <f>'FY 2025 IFC Table 1A-1E'!$D$4</f>
        <v>4107.12</v>
      </c>
      <c r="N65" s="120">
        <f>IFERROR(VLOOKUP($C65,'FY25 IMPACT FILE IFC-OTHER TBLS'!$A$3:$BJ$52,12,FALSE),1)</f>
        <v>1</v>
      </c>
      <c r="O65" s="119">
        <f>IF(N65&lt;=1,'FY 2025 IFC Table 1A-1E'!$C$5,'FY 2025 IFC Table 1A-1E'!$B$5)</f>
        <v>2517.27</v>
      </c>
      <c r="P65" s="122">
        <f t="shared" si="0"/>
        <v>6624.3899999999994</v>
      </c>
      <c r="Q65" s="150">
        <f>'FY 2025 IFC Table 1A-1E'!$B$33</f>
        <v>512.14</v>
      </c>
      <c r="R65" s="120">
        <f>IFERROR(VLOOKUP(C65,'FY25 IMPACT FILE IFC-OTHER TBLS'!$A$3:$BJ$52,48,FALSE),1)</f>
        <v>1</v>
      </c>
      <c r="S65" s="119">
        <f t="shared" si="5"/>
        <v>512.14</v>
      </c>
      <c r="T65" s="121">
        <f t="shared" si="6"/>
        <v>7136.53</v>
      </c>
      <c r="U65" s="367">
        <f>IFERROR(VLOOKUP($C65,'GME Add-On Posting'!$A$8:$Q$30,17,FALSE),0)</f>
        <v>22.914749539237562</v>
      </c>
      <c r="V65" s="125">
        <f>IFERROR(VLOOKUP(C65,'FY25 IMPACT FILE IFC-OTHER TBLS'!$A$3:$BJ$55,23,FALSE),0)</f>
        <v>0</v>
      </c>
      <c r="W65" s="125">
        <f>IFERROR(VLOOKUP(C65,'FY25 IMPACT FILE IFC-OTHER TBLS'!$A$3:$BJ$55,24,FALSE),0)</f>
        <v>0</v>
      </c>
      <c r="X65" s="119">
        <f t="shared" si="10"/>
        <v>0</v>
      </c>
      <c r="Y65" s="119">
        <f t="shared" si="11"/>
        <v>0</v>
      </c>
      <c r="Z65" s="365">
        <v>349.04730430883683</v>
      </c>
      <c r="AA65" s="151" t="s">
        <v>377</v>
      </c>
      <c r="AB65" s="127">
        <f t="shared" si="8"/>
        <v>0</v>
      </c>
      <c r="AC65" s="124" t="s">
        <v>377</v>
      </c>
      <c r="AD65" s="127" t="s">
        <v>377</v>
      </c>
      <c r="AE65" s="10" t="s">
        <v>377</v>
      </c>
      <c r="AF65" s="130">
        <f t="shared" si="3"/>
        <v>0</v>
      </c>
      <c r="AG65" s="129">
        <f t="shared" si="12"/>
        <v>0</v>
      </c>
    </row>
    <row r="66" spans="1:33" x14ac:dyDescent="0.25">
      <c r="A66" s="10">
        <v>13</v>
      </c>
      <c r="B66" s="15">
        <v>61310</v>
      </c>
      <c r="C66" s="16" t="s">
        <v>396</v>
      </c>
      <c r="D66" s="96" t="s">
        <v>397</v>
      </c>
      <c r="E66" s="96"/>
      <c r="F66" s="152" t="str">
        <f>VLOOKUP($B66,Characteristics!$A$2:$K$86,11,FALSE)</f>
        <v>CAH</v>
      </c>
      <c r="G66" s="213">
        <f>VLOOKUP($B66,Characteristics!$A$2:$K$86,3,FALSE)</f>
        <v>1</v>
      </c>
      <c r="H66" s="96"/>
      <c r="I66" s="96"/>
      <c r="J66" s="15">
        <v>61310</v>
      </c>
      <c r="K66" s="120" t="str">
        <f>IFERROR(VLOOKUP(C66,'FY25 IMPACT FILE IFC-OTHER TBLS'!$A$3:$BN$52,63,FALSE),"NA")</f>
        <v>NA</v>
      </c>
      <c r="L66" s="18"/>
      <c r="M66" s="119">
        <f>'FY 2025 IFC Table 1A-1E'!$D$4</f>
        <v>4107.12</v>
      </c>
      <c r="N66" s="120">
        <f>IFERROR(VLOOKUP($C66,'FY25 IMPACT FILE IFC-OTHER TBLS'!$A$3:$BJ$52,12,FALSE),1)</f>
        <v>1</v>
      </c>
      <c r="O66" s="119">
        <f>IF(N66&lt;=1,'FY 2025 IFC Table 1A-1E'!$C$5,'FY 2025 IFC Table 1A-1E'!$B$5)</f>
        <v>2517.27</v>
      </c>
      <c r="P66" s="122">
        <f t="shared" si="0"/>
        <v>6624.3899999999994</v>
      </c>
      <c r="Q66" s="150">
        <f>'FY 2025 IFC Table 1A-1E'!$B$33</f>
        <v>512.14</v>
      </c>
      <c r="R66" s="120">
        <f>IFERROR(VLOOKUP(C66,'FY25 IMPACT FILE IFC-OTHER TBLS'!$A$3:$BJ$52,48,FALSE),1)</f>
        <v>1</v>
      </c>
      <c r="S66" s="119">
        <f t="shared" si="5"/>
        <v>512.14</v>
      </c>
      <c r="T66" s="121">
        <f t="shared" si="6"/>
        <v>7136.53</v>
      </c>
      <c r="U66" s="367">
        <f>IFERROR(VLOOKUP($C66,'GME Add-On Posting'!$A$8:$Q$30,17,FALSE),0)</f>
        <v>0</v>
      </c>
      <c r="V66" s="125">
        <f>IFERROR(VLOOKUP(C66,'FY25 IMPACT FILE IFC-OTHER TBLS'!$A$3:$BJ$55,23,FALSE),0)</f>
        <v>0</v>
      </c>
      <c r="W66" s="125">
        <f>IFERROR(VLOOKUP(C66,'FY25 IMPACT FILE IFC-OTHER TBLS'!$A$3:$BJ$55,24,FALSE),0)</f>
        <v>0</v>
      </c>
      <c r="X66" s="119">
        <f t="shared" si="10"/>
        <v>0</v>
      </c>
      <c r="Y66" s="119">
        <f t="shared" si="11"/>
        <v>0</v>
      </c>
      <c r="Z66" s="126">
        <f t="shared" si="7"/>
        <v>0</v>
      </c>
      <c r="AA66" s="151" t="s">
        <v>377</v>
      </c>
      <c r="AB66" s="127">
        <f t="shared" si="8"/>
        <v>0</v>
      </c>
      <c r="AC66" s="124" t="s">
        <v>377</v>
      </c>
      <c r="AD66" s="127" t="s">
        <v>377</v>
      </c>
      <c r="AE66" s="10" t="s">
        <v>377</v>
      </c>
      <c r="AF66" s="130">
        <f t="shared" si="3"/>
        <v>0</v>
      </c>
      <c r="AG66" s="129">
        <f t="shared" si="12"/>
        <v>0</v>
      </c>
    </row>
    <row r="67" spans="1:33" x14ac:dyDescent="0.25">
      <c r="A67" s="10">
        <v>13</v>
      </c>
      <c r="B67" s="15">
        <v>61311</v>
      </c>
      <c r="C67" s="16" t="s">
        <v>398</v>
      </c>
      <c r="D67" s="96" t="s">
        <v>399</v>
      </c>
      <c r="E67" s="96"/>
      <c r="F67" s="152" t="str">
        <f>VLOOKUP($B67,Characteristics!$A$2:$K$86,11,FALSE)</f>
        <v>CAH</v>
      </c>
      <c r="G67" s="213">
        <f>VLOOKUP($B67,Characteristics!$A$2:$K$86,3,FALSE)</f>
        <v>1</v>
      </c>
      <c r="H67" s="96"/>
      <c r="I67" s="96"/>
      <c r="J67" s="15">
        <v>61311</v>
      </c>
      <c r="K67" s="120" t="str">
        <f>IFERROR(VLOOKUP(C67,'FY25 IMPACT FILE IFC-OTHER TBLS'!$A$3:$BN$52,63,FALSE),"NA")</f>
        <v>NA</v>
      </c>
      <c r="L67" s="18"/>
      <c r="M67" s="119">
        <f>'FY 2025 IFC Table 1A-1E'!$D$4</f>
        <v>4107.12</v>
      </c>
      <c r="N67" s="120">
        <f>IFERROR(VLOOKUP($C67,'FY25 IMPACT FILE IFC-OTHER TBLS'!$A$3:$BJ$52,12,FALSE),1)</f>
        <v>1</v>
      </c>
      <c r="O67" s="119">
        <f>IF(N67&lt;=1,'FY 2025 IFC Table 1A-1E'!$C$5,'FY 2025 IFC Table 1A-1E'!$B$5)</f>
        <v>2517.27</v>
      </c>
      <c r="P67" s="122">
        <f t="shared" si="0"/>
        <v>6624.3899999999994</v>
      </c>
      <c r="Q67" s="150">
        <f>'FY 2025 IFC Table 1A-1E'!$B$33</f>
        <v>512.14</v>
      </c>
      <c r="R67" s="120">
        <f>IFERROR(VLOOKUP(C67,'FY25 IMPACT FILE IFC-OTHER TBLS'!$A$3:$BJ$52,48,FALSE),1)</f>
        <v>1</v>
      </c>
      <c r="S67" s="119">
        <f t="shared" si="5"/>
        <v>512.14</v>
      </c>
      <c r="T67" s="121">
        <f t="shared" si="6"/>
        <v>7136.53</v>
      </c>
      <c r="U67" s="367">
        <f>IFERROR(VLOOKUP($C67,'GME Add-On Posting'!$A$8:$Q$30,17,FALSE),0)</f>
        <v>0</v>
      </c>
      <c r="V67" s="125">
        <f>IFERROR(VLOOKUP(C67,'FY25 IMPACT FILE IFC-OTHER TBLS'!$A$3:$BJ$55,23,FALSE),0)</f>
        <v>0</v>
      </c>
      <c r="W67" s="125">
        <f>IFERROR(VLOOKUP(C67,'FY25 IMPACT FILE IFC-OTHER TBLS'!$A$3:$BJ$55,24,FALSE),0)</f>
        <v>0</v>
      </c>
      <c r="X67" s="119">
        <f t="shared" si="10"/>
        <v>0</v>
      </c>
      <c r="Y67" s="119">
        <f t="shared" si="11"/>
        <v>0</v>
      </c>
      <c r="Z67" s="126">
        <f t="shared" si="7"/>
        <v>0</v>
      </c>
      <c r="AA67" s="151" t="s">
        <v>377</v>
      </c>
      <c r="AB67" s="127">
        <f t="shared" si="8"/>
        <v>0</v>
      </c>
      <c r="AC67" s="124" t="s">
        <v>377</v>
      </c>
      <c r="AD67" s="127" t="s">
        <v>377</v>
      </c>
      <c r="AE67" s="10" t="s">
        <v>377</v>
      </c>
      <c r="AF67" s="130">
        <f t="shared" si="3"/>
        <v>0</v>
      </c>
      <c r="AG67" s="129">
        <f t="shared" si="12"/>
        <v>0</v>
      </c>
    </row>
    <row r="68" spans="1:33" x14ac:dyDescent="0.25">
      <c r="A68" s="10">
        <v>13</v>
      </c>
      <c r="B68" s="15">
        <v>61312</v>
      </c>
      <c r="C68" s="16" t="s">
        <v>400</v>
      </c>
      <c r="D68" s="96" t="s">
        <v>401</v>
      </c>
      <c r="E68" s="96"/>
      <c r="F68" s="152" t="str">
        <f>VLOOKUP($B68,Characteristics!$A$2:$K$86,11,FALSE)</f>
        <v>CAH</v>
      </c>
      <c r="G68" s="213">
        <f>VLOOKUP($B68,Characteristics!$A$2:$K$86,3,FALSE)</f>
        <v>0</v>
      </c>
      <c r="H68" s="96"/>
      <c r="I68" s="96"/>
      <c r="J68" s="15">
        <v>61312</v>
      </c>
      <c r="K68" s="120" t="str">
        <f>IFERROR(VLOOKUP(C68,'FY25 IMPACT FILE IFC-OTHER TBLS'!$A$3:$BN$52,63,FALSE),"NA")</f>
        <v>NA</v>
      </c>
      <c r="L68" s="18"/>
      <c r="M68" s="119">
        <f>'FY 2025 IFC Table 1A-1E'!$D$4</f>
        <v>4107.12</v>
      </c>
      <c r="N68" s="120">
        <f>IFERROR(VLOOKUP($C68,'FY25 IMPACT FILE IFC-OTHER TBLS'!$A$3:$BJ$52,12,FALSE),1)</f>
        <v>1</v>
      </c>
      <c r="O68" s="119">
        <f>IF(N68&lt;=1,'FY 2025 IFC Table 1A-1E'!$C$5,'FY 2025 IFC Table 1A-1E'!$B$5)</f>
        <v>2517.27</v>
      </c>
      <c r="P68" s="122">
        <f t="shared" si="0"/>
        <v>6624.3899999999994</v>
      </c>
      <c r="Q68" s="150">
        <f>'FY 2025 IFC Table 1A-1E'!$B$33</f>
        <v>512.14</v>
      </c>
      <c r="R68" s="120">
        <f>IFERROR(VLOOKUP(C68,'FY25 IMPACT FILE IFC-OTHER TBLS'!$A$3:$BJ$52,48,FALSE),1)</f>
        <v>1</v>
      </c>
      <c r="S68" s="119">
        <f t="shared" si="5"/>
        <v>512.14</v>
      </c>
      <c r="T68" s="121">
        <f t="shared" si="6"/>
        <v>7136.53</v>
      </c>
      <c r="U68" s="367">
        <f>IFERROR(VLOOKUP($C68,'GME Add-On Posting'!$A$8:$Q$30,17,FALSE),0)</f>
        <v>0</v>
      </c>
      <c r="V68" s="125">
        <f>IFERROR(VLOOKUP(C68,'FY25 IMPACT FILE IFC-OTHER TBLS'!$A$3:$BJ$55,23,FALSE),0)</f>
        <v>0</v>
      </c>
      <c r="W68" s="125">
        <f>IFERROR(VLOOKUP(C68,'FY25 IMPACT FILE IFC-OTHER TBLS'!$A$3:$BJ$55,24,FALSE),0)</f>
        <v>0</v>
      </c>
      <c r="X68" s="119">
        <f t="shared" si="10"/>
        <v>0</v>
      </c>
      <c r="Y68" s="119">
        <f t="shared" si="11"/>
        <v>0</v>
      </c>
      <c r="Z68" s="126">
        <f t="shared" si="7"/>
        <v>0</v>
      </c>
      <c r="AA68" s="151" t="s">
        <v>377</v>
      </c>
      <c r="AB68" s="127">
        <f t="shared" si="8"/>
        <v>0</v>
      </c>
      <c r="AC68" s="124" t="s">
        <v>377</v>
      </c>
      <c r="AD68" s="127" t="s">
        <v>377</v>
      </c>
      <c r="AE68" s="10" t="s">
        <v>377</v>
      </c>
      <c r="AF68" s="130">
        <f t="shared" si="3"/>
        <v>0</v>
      </c>
      <c r="AG68" s="129">
        <f t="shared" si="12"/>
        <v>0</v>
      </c>
    </row>
    <row r="69" spans="1:33" x14ac:dyDescent="0.25">
      <c r="A69" s="10">
        <v>13</v>
      </c>
      <c r="B69" s="15">
        <v>61313</v>
      </c>
      <c r="C69" s="16" t="s">
        <v>402</v>
      </c>
      <c r="D69" s="96" t="s">
        <v>403</v>
      </c>
      <c r="E69" s="96"/>
      <c r="F69" s="152" t="str">
        <f>VLOOKUP($B69,Characteristics!$A$2:$K$86,11,FALSE)</f>
        <v>CAH</v>
      </c>
      <c r="G69" s="213">
        <f>VLOOKUP($B69,Characteristics!$A$2:$K$86,3,FALSE)</f>
        <v>1</v>
      </c>
      <c r="H69" s="96"/>
      <c r="I69" s="96"/>
      <c r="J69" s="15">
        <v>61313</v>
      </c>
      <c r="K69" s="120" t="str">
        <f>IFERROR(VLOOKUP(C69,'FY25 IMPACT FILE IFC-OTHER TBLS'!$A$3:$BN$52,63,FALSE),"NA")</f>
        <v>NA</v>
      </c>
      <c r="L69" s="18"/>
      <c r="M69" s="119">
        <f>'FY 2025 IFC Table 1A-1E'!$D$4</f>
        <v>4107.12</v>
      </c>
      <c r="N69" s="120">
        <f>IFERROR(VLOOKUP($C69,'FY25 IMPACT FILE IFC-OTHER TBLS'!$A$3:$BJ$52,12,FALSE),1)</f>
        <v>1</v>
      </c>
      <c r="O69" s="119">
        <f>IF(N69&lt;=1,'FY 2025 IFC Table 1A-1E'!$C$5,'FY 2025 IFC Table 1A-1E'!$B$5)</f>
        <v>2517.27</v>
      </c>
      <c r="P69" s="122">
        <f t="shared" si="0"/>
        <v>6624.3899999999994</v>
      </c>
      <c r="Q69" s="150">
        <f>'FY 2025 IFC Table 1A-1E'!$B$33</f>
        <v>512.14</v>
      </c>
      <c r="R69" s="120">
        <f>IFERROR(VLOOKUP(C69,'FY25 IMPACT FILE IFC-OTHER TBLS'!$A$3:$BJ$52,48,FALSE),1)</f>
        <v>1</v>
      </c>
      <c r="S69" s="119">
        <f t="shared" si="5"/>
        <v>512.14</v>
      </c>
      <c r="T69" s="121">
        <f t="shared" si="6"/>
        <v>7136.53</v>
      </c>
      <c r="U69" s="367">
        <f>IFERROR(VLOOKUP($C69,'GME Add-On Posting'!$A$8:$Q$30,17,FALSE),0)</f>
        <v>0</v>
      </c>
      <c r="V69" s="125">
        <f>IFERROR(VLOOKUP(C69,'FY25 IMPACT FILE IFC-OTHER TBLS'!$A$3:$BJ$55,23,FALSE),0)</f>
        <v>0</v>
      </c>
      <c r="W69" s="125">
        <f>IFERROR(VLOOKUP(C69,'FY25 IMPACT FILE IFC-OTHER TBLS'!$A$3:$BJ$55,24,FALSE),0)</f>
        <v>0</v>
      </c>
      <c r="X69" s="119">
        <f t="shared" si="10"/>
        <v>0</v>
      </c>
      <c r="Y69" s="119">
        <f t="shared" si="11"/>
        <v>0</v>
      </c>
      <c r="Z69" s="126">
        <f t="shared" si="7"/>
        <v>0</v>
      </c>
      <c r="AA69" s="151" t="s">
        <v>377</v>
      </c>
      <c r="AB69" s="127">
        <f t="shared" si="8"/>
        <v>0</v>
      </c>
      <c r="AC69" s="124" t="s">
        <v>377</v>
      </c>
      <c r="AD69" s="127" t="s">
        <v>377</v>
      </c>
      <c r="AE69" s="10" t="s">
        <v>377</v>
      </c>
      <c r="AF69" s="130">
        <f t="shared" si="3"/>
        <v>0</v>
      </c>
      <c r="AG69" s="129">
        <f t="shared" si="12"/>
        <v>0</v>
      </c>
    </row>
    <row r="70" spans="1:33" x14ac:dyDescent="0.25">
      <c r="A70" s="10">
        <v>13</v>
      </c>
      <c r="B70" s="15">
        <v>61314</v>
      </c>
      <c r="C70" s="16" t="s">
        <v>404</v>
      </c>
      <c r="D70" s="96" t="s">
        <v>405</v>
      </c>
      <c r="E70" s="96"/>
      <c r="F70" s="152" t="str">
        <f>VLOOKUP($B70,Characteristics!$A$2:$K$86,11,FALSE)</f>
        <v>CAH</v>
      </c>
      <c r="G70" s="213">
        <f>VLOOKUP($B70,Characteristics!$A$2:$K$86,3,FALSE)</f>
        <v>1</v>
      </c>
      <c r="H70" s="96"/>
      <c r="I70" s="96"/>
      <c r="J70" s="15">
        <v>61314</v>
      </c>
      <c r="K70" s="120" t="str">
        <f>IFERROR(VLOOKUP(C70,'FY25 IMPACT FILE IFC-OTHER TBLS'!$A$3:$BN$52,63,FALSE),"NA")</f>
        <v>NA</v>
      </c>
      <c r="L70" s="18"/>
      <c r="M70" s="119">
        <f>'FY 2025 IFC Table 1A-1E'!$D$4</f>
        <v>4107.12</v>
      </c>
      <c r="N70" s="120">
        <f>IFERROR(VLOOKUP($C70,'FY25 IMPACT FILE IFC-OTHER TBLS'!$A$3:$BJ$52,12,FALSE),1)</f>
        <v>1</v>
      </c>
      <c r="O70" s="119">
        <f>IF(N70&lt;=1,'FY 2025 IFC Table 1A-1E'!$C$5,'FY 2025 IFC Table 1A-1E'!$B$5)</f>
        <v>2517.27</v>
      </c>
      <c r="P70" s="122">
        <f t="shared" ref="P70:P89" si="13">IFERROR((M70*N70)+O70," ")</f>
        <v>6624.3899999999994</v>
      </c>
      <c r="Q70" s="150">
        <f>'FY 2025 IFC Table 1A-1E'!$B$33</f>
        <v>512.14</v>
      </c>
      <c r="R70" s="120">
        <f>IFERROR(VLOOKUP(C70,'FY25 IMPACT FILE IFC-OTHER TBLS'!$A$3:$BJ$52,48,FALSE),1)</f>
        <v>1</v>
      </c>
      <c r="S70" s="119">
        <f t="shared" ref="S70:S89" si="14">IFERROR(Q70*R70," ")</f>
        <v>512.14</v>
      </c>
      <c r="T70" s="121">
        <f t="shared" ref="T70:T89" si="15">P70+S70</f>
        <v>7136.53</v>
      </c>
      <c r="U70" s="367">
        <f>IFERROR(VLOOKUP($C70,'GME Add-On Posting'!$A$8:$Q$30,17,FALSE),0)</f>
        <v>0</v>
      </c>
      <c r="V70" s="125">
        <f>IFERROR(VLOOKUP(C70,'FY25 IMPACT FILE IFC-OTHER TBLS'!$A$3:$BJ$55,23,FALSE),0)</f>
        <v>0</v>
      </c>
      <c r="W70" s="125">
        <f>IFERROR(VLOOKUP(C70,'FY25 IMPACT FILE IFC-OTHER TBLS'!$A$3:$BJ$55,24,FALSE),0)</f>
        <v>0</v>
      </c>
      <c r="X70" s="119">
        <f t="shared" ref="X70:X89" si="16">IFERROR((P70*V70),0)</f>
        <v>0</v>
      </c>
      <c r="Y70" s="119">
        <f t="shared" ref="Y70:Y89" si="17">IFERROR(S70*W70,0)</f>
        <v>0</v>
      </c>
      <c r="Z70" s="126">
        <f t="shared" si="7"/>
        <v>0</v>
      </c>
      <c r="AA70" s="151" t="s">
        <v>377</v>
      </c>
      <c r="AB70" s="127">
        <f t="shared" ref="AB70:AB89" si="18">IF(AA70="NA",0,P70*(AA70-1))</f>
        <v>0</v>
      </c>
      <c r="AC70" s="124" t="s">
        <v>377</v>
      </c>
      <c r="AD70" s="127" t="s">
        <v>377</v>
      </c>
      <c r="AE70" s="10" t="s">
        <v>377</v>
      </c>
      <c r="AF70" s="130">
        <f t="shared" ref="AF70:AF89" si="19">IF(AE70="Yes",-0.01,0)</f>
        <v>0</v>
      </c>
      <c r="AG70" s="129">
        <f t="shared" ref="AG70:AG89" si="20">T70*AF70</f>
        <v>0</v>
      </c>
    </row>
    <row r="71" spans="1:33" x14ac:dyDescent="0.25">
      <c r="A71" s="10">
        <v>13</v>
      </c>
      <c r="B71" s="15">
        <v>61315</v>
      </c>
      <c r="C71" s="16" t="s">
        <v>406</v>
      </c>
      <c r="D71" s="96" t="s">
        <v>407</v>
      </c>
      <c r="E71" s="96"/>
      <c r="F71" s="152" t="str">
        <f>VLOOKUP($B71,Characteristics!$A$2:$K$86,11,FALSE)</f>
        <v>CAH</v>
      </c>
      <c r="G71" s="213">
        <f>VLOOKUP($B71,Characteristics!$A$2:$K$86,3,FALSE)</f>
        <v>1</v>
      </c>
      <c r="H71" s="96"/>
      <c r="I71" s="96"/>
      <c r="J71" s="15">
        <v>61315</v>
      </c>
      <c r="K71" s="120" t="str">
        <f>IFERROR(VLOOKUP(C71,'FY25 IMPACT FILE IFC-OTHER TBLS'!$A$3:$BN$52,63,FALSE),"NA")</f>
        <v>NA</v>
      </c>
      <c r="L71" s="18"/>
      <c r="M71" s="119">
        <f>'FY 2025 IFC Table 1A-1E'!$D$4</f>
        <v>4107.12</v>
      </c>
      <c r="N71" s="120">
        <f>IFERROR(VLOOKUP($C71,'FY25 IMPACT FILE IFC-OTHER TBLS'!$A$3:$BJ$52,12,FALSE),1)</f>
        <v>1</v>
      </c>
      <c r="O71" s="119">
        <f>IF(N71&lt;=1,'FY 2025 IFC Table 1A-1E'!$C$5,'FY 2025 IFC Table 1A-1E'!$B$5)</f>
        <v>2517.27</v>
      </c>
      <c r="P71" s="122">
        <f t="shared" si="13"/>
        <v>6624.3899999999994</v>
      </c>
      <c r="Q71" s="150">
        <f>'FY 2025 IFC Table 1A-1E'!$B$33</f>
        <v>512.14</v>
      </c>
      <c r="R71" s="120">
        <f>IFERROR(VLOOKUP(C71,'FY25 IMPACT FILE IFC-OTHER TBLS'!$A$3:$BJ$52,48,FALSE),1)</f>
        <v>1</v>
      </c>
      <c r="S71" s="119">
        <f t="shared" si="14"/>
        <v>512.14</v>
      </c>
      <c r="T71" s="121">
        <f t="shared" si="15"/>
        <v>7136.53</v>
      </c>
      <c r="U71" s="367">
        <f>IFERROR(VLOOKUP($C71,'GME Add-On Posting'!$A$8:$Q$30,17,FALSE),0)</f>
        <v>0</v>
      </c>
      <c r="V71" s="125">
        <f>IFERROR(VLOOKUP(C71,'FY25 IMPACT FILE IFC-OTHER TBLS'!$A$3:$BJ$55,23,FALSE),0)</f>
        <v>0</v>
      </c>
      <c r="W71" s="125">
        <f>IFERROR(VLOOKUP(C71,'FY25 IMPACT FILE IFC-OTHER TBLS'!$A$3:$BJ$55,24,FALSE),0)</f>
        <v>0</v>
      </c>
      <c r="X71" s="119">
        <f t="shared" si="16"/>
        <v>0</v>
      </c>
      <c r="Y71" s="119">
        <f t="shared" si="17"/>
        <v>0</v>
      </c>
      <c r="Z71" s="126">
        <f t="shared" ref="Z71:Z89" si="21">X71+Y71</f>
        <v>0</v>
      </c>
      <c r="AA71" s="151" t="s">
        <v>377</v>
      </c>
      <c r="AB71" s="127">
        <f t="shared" si="18"/>
        <v>0</v>
      </c>
      <c r="AC71" s="124" t="s">
        <v>377</v>
      </c>
      <c r="AD71" s="127" t="s">
        <v>377</v>
      </c>
      <c r="AE71" s="10" t="s">
        <v>377</v>
      </c>
      <c r="AF71" s="130">
        <f t="shared" si="19"/>
        <v>0</v>
      </c>
      <c r="AG71" s="129">
        <f t="shared" si="20"/>
        <v>0</v>
      </c>
    </row>
    <row r="72" spans="1:33" x14ac:dyDescent="0.25">
      <c r="A72" s="10">
        <v>13</v>
      </c>
      <c r="B72" s="15">
        <v>61316</v>
      </c>
      <c r="C72" s="16" t="s">
        <v>408</v>
      </c>
      <c r="D72" s="96" t="s">
        <v>409</v>
      </c>
      <c r="E72" s="96"/>
      <c r="F72" s="152" t="str">
        <f>VLOOKUP($B72,Characteristics!$A$2:$K$86,11,FALSE)</f>
        <v>CAH</v>
      </c>
      <c r="G72" s="213">
        <f>VLOOKUP($B72,Characteristics!$A$2:$K$86,3,FALSE)</f>
        <v>1</v>
      </c>
      <c r="H72" s="96"/>
      <c r="I72" s="96"/>
      <c r="J72" s="15">
        <v>61316</v>
      </c>
      <c r="K72" s="120" t="str">
        <f>IFERROR(VLOOKUP(C72,'FY25 IMPACT FILE IFC-OTHER TBLS'!$A$3:$BN$52,63,FALSE),"NA")</f>
        <v>NA</v>
      </c>
      <c r="L72" s="18"/>
      <c r="M72" s="119">
        <f>'FY 2025 IFC Table 1A-1E'!$D$4</f>
        <v>4107.12</v>
      </c>
      <c r="N72" s="120">
        <f>IFERROR(VLOOKUP($C72,'FY25 IMPACT FILE IFC-OTHER TBLS'!$A$3:$BJ$52,12,FALSE),1)</f>
        <v>1</v>
      </c>
      <c r="O72" s="119">
        <f>IF(N72&lt;=1,'FY 2025 IFC Table 1A-1E'!$C$5,'FY 2025 IFC Table 1A-1E'!$B$5)</f>
        <v>2517.27</v>
      </c>
      <c r="P72" s="122">
        <f t="shared" si="13"/>
        <v>6624.3899999999994</v>
      </c>
      <c r="Q72" s="150">
        <f>'FY 2025 IFC Table 1A-1E'!$B$33</f>
        <v>512.14</v>
      </c>
      <c r="R72" s="120">
        <f>IFERROR(VLOOKUP(C72,'FY25 IMPACT FILE IFC-OTHER TBLS'!$A$3:$BJ$52,48,FALSE),1)</f>
        <v>1</v>
      </c>
      <c r="S72" s="119">
        <f t="shared" si="14"/>
        <v>512.14</v>
      </c>
      <c r="T72" s="121">
        <f t="shared" si="15"/>
        <v>7136.53</v>
      </c>
      <c r="U72" s="367">
        <f>IFERROR(VLOOKUP($C72,'GME Add-On Posting'!$A$8:$Q$30,17,FALSE),0)</f>
        <v>0</v>
      </c>
      <c r="V72" s="125">
        <f>IFERROR(VLOOKUP(C72,'FY25 IMPACT FILE IFC-OTHER TBLS'!$A$3:$BJ$55,23,FALSE),0)</f>
        <v>0</v>
      </c>
      <c r="W72" s="125">
        <f>IFERROR(VLOOKUP(C72,'FY25 IMPACT FILE IFC-OTHER TBLS'!$A$3:$BJ$55,24,FALSE),0)</f>
        <v>0</v>
      </c>
      <c r="X72" s="119">
        <f t="shared" si="16"/>
        <v>0</v>
      </c>
      <c r="Y72" s="119">
        <f t="shared" si="17"/>
        <v>0</v>
      </c>
      <c r="Z72" s="126">
        <f t="shared" si="21"/>
        <v>0</v>
      </c>
      <c r="AA72" s="151" t="s">
        <v>377</v>
      </c>
      <c r="AB72" s="127">
        <f t="shared" si="18"/>
        <v>0</v>
      </c>
      <c r="AC72" s="124" t="s">
        <v>377</v>
      </c>
      <c r="AD72" s="127" t="s">
        <v>377</v>
      </c>
      <c r="AE72" s="10" t="s">
        <v>377</v>
      </c>
      <c r="AF72" s="130">
        <f t="shared" si="19"/>
        <v>0</v>
      </c>
      <c r="AG72" s="129">
        <f t="shared" si="20"/>
        <v>0</v>
      </c>
    </row>
    <row r="73" spans="1:33" x14ac:dyDescent="0.25">
      <c r="A73" s="10">
        <v>13</v>
      </c>
      <c r="B73" s="15">
        <v>61317</v>
      </c>
      <c r="C73" s="16" t="s">
        <v>410</v>
      </c>
      <c r="D73" s="96" t="s">
        <v>411</v>
      </c>
      <c r="E73" s="96"/>
      <c r="F73" s="152" t="str">
        <f>VLOOKUP($B73,Characteristics!$A$2:$K$86,11,FALSE)</f>
        <v>CAH</v>
      </c>
      <c r="G73" s="213">
        <f>VLOOKUP($B73,Characteristics!$A$2:$K$86,3,FALSE)</f>
        <v>1</v>
      </c>
      <c r="H73" s="96"/>
      <c r="I73" s="96"/>
      <c r="J73" s="15">
        <v>61317</v>
      </c>
      <c r="K73" s="120" t="str">
        <f>IFERROR(VLOOKUP(C73,'FY25 IMPACT FILE IFC-OTHER TBLS'!$A$3:$BN$52,63,FALSE),"NA")</f>
        <v>NA</v>
      </c>
      <c r="L73" s="18"/>
      <c r="M73" s="119">
        <f>'FY 2025 IFC Table 1A-1E'!$D$4</f>
        <v>4107.12</v>
      </c>
      <c r="N73" s="120">
        <f>IFERROR(VLOOKUP($C73,'FY25 IMPACT FILE IFC-OTHER TBLS'!$A$3:$BJ$52,12,FALSE),1)</f>
        <v>1</v>
      </c>
      <c r="O73" s="119">
        <f>IF(N73&lt;=1,'FY 2025 IFC Table 1A-1E'!$C$5,'FY 2025 IFC Table 1A-1E'!$B$5)</f>
        <v>2517.27</v>
      </c>
      <c r="P73" s="122">
        <f t="shared" si="13"/>
        <v>6624.3899999999994</v>
      </c>
      <c r="Q73" s="150">
        <f>'FY 2025 IFC Table 1A-1E'!$B$33</f>
        <v>512.14</v>
      </c>
      <c r="R73" s="120">
        <f>IFERROR(VLOOKUP(C73,'FY25 IMPACT FILE IFC-OTHER TBLS'!$A$3:$BJ$52,48,FALSE),1)</f>
        <v>1</v>
      </c>
      <c r="S73" s="119">
        <f t="shared" si="14"/>
        <v>512.14</v>
      </c>
      <c r="T73" s="121">
        <f t="shared" si="15"/>
        <v>7136.53</v>
      </c>
      <c r="U73" s="367">
        <f>IFERROR(VLOOKUP($C73,'GME Add-On Posting'!$A$8:$Q$30,17,FALSE),0)</f>
        <v>0</v>
      </c>
      <c r="V73" s="125">
        <f>IFERROR(VLOOKUP(C73,'FY25 IMPACT FILE IFC-OTHER TBLS'!$A$3:$BJ$55,23,FALSE),0)</f>
        <v>0</v>
      </c>
      <c r="W73" s="125">
        <f>IFERROR(VLOOKUP(C73,'FY25 IMPACT FILE IFC-OTHER TBLS'!$A$3:$BJ$55,24,FALSE),0)</f>
        <v>0</v>
      </c>
      <c r="X73" s="119">
        <f t="shared" si="16"/>
        <v>0</v>
      </c>
      <c r="Y73" s="119">
        <f t="shared" si="17"/>
        <v>0</v>
      </c>
      <c r="Z73" s="126">
        <f t="shared" si="21"/>
        <v>0</v>
      </c>
      <c r="AA73" s="151" t="s">
        <v>377</v>
      </c>
      <c r="AB73" s="127">
        <f t="shared" si="18"/>
        <v>0</v>
      </c>
      <c r="AC73" s="124" t="s">
        <v>377</v>
      </c>
      <c r="AD73" s="127" t="s">
        <v>377</v>
      </c>
      <c r="AE73" s="10" t="s">
        <v>377</v>
      </c>
      <c r="AF73" s="130">
        <f t="shared" si="19"/>
        <v>0</v>
      </c>
      <c r="AG73" s="129">
        <f t="shared" si="20"/>
        <v>0</v>
      </c>
    </row>
    <row r="74" spans="1:33" x14ac:dyDescent="0.25">
      <c r="A74" s="10">
        <v>13</v>
      </c>
      <c r="B74" s="15">
        <v>61318</v>
      </c>
      <c r="C74" s="16" t="s">
        <v>412</v>
      </c>
      <c r="D74" s="96" t="s">
        <v>413</v>
      </c>
      <c r="E74" s="96"/>
      <c r="F74" s="152" t="str">
        <f>VLOOKUP($B74,Characteristics!$A$2:$K$86,11,FALSE)</f>
        <v>CAH</v>
      </c>
      <c r="G74" s="213">
        <f>VLOOKUP($B74,Characteristics!$A$2:$K$86,3,FALSE)</f>
        <v>1</v>
      </c>
      <c r="H74" s="96"/>
      <c r="I74" s="96"/>
      <c r="J74" s="15">
        <v>61318</v>
      </c>
      <c r="K74" s="120" t="str">
        <f>IFERROR(VLOOKUP(C74,'FY25 IMPACT FILE IFC-OTHER TBLS'!$A$3:$BN$52,63,FALSE),"NA")</f>
        <v>NA</v>
      </c>
      <c r="L74" s="18"/>
      <c r="M74" s="119">
        <f>'FY 2025 IFC Table 1A-1E'!$D$4</f>
        <v>4107.12</v>
      </c>
      <c r="N74" s="120">
        <f>IFERROR(VLOOKUP($C74,'FY25 IMPACT FILE IFC-OTHER TBLS'!$A$3:$BJ$52,12,FALSE),1)</f>
        <v>1</v>
      </c>
      <c r="O74" s="119">
        <f>IF(N74&lt;=1,'FY 2025 IFC Table 1A-1E'!$C$5,'FY 2025 IFC Table 1A-1E'!$B$5)</f>
        <v>2517.27</v>
      </c>
      <c r="P74" s="122">
        <f t="shared" si="13"/>
        <v>6624.3899999999994</v>
      </c>
      <c r="Q74" s="150">
        <f>'FY 2025 IFC Table 1A-1E'!$B$33</f>
        <v>512.14</v>
      </c>
      <c r="R74" s="120">
        <f>IFERROR(VLOOKUP(C74,'FY25 IMPACT FILE IFC-OTHER TBLS'!$A$3:$BJ$52,48,FALSE),1)</f>
        <v>1</v>
      </c>
      <c r="S74" s="119">
        <f t="shared" si="14"/>
        <v>512.14</v>
      </c>
      <c r="T74" s="121">
        <f t="shared" si="15"/>
        <v>7136.53</v>
      </c>
      <c r="U74" s="367">
        <f>IFERROR(VLOOKUP($C74,'GME Add-On Posting'!$A$8:$Q$30,17,FALSE),0)</f>
        <v>0</v>
      </c>
      <c r="V74" s="125">
        <f>IFERROR(VLOOKUP(C74,'FY25 IMPACT FILE IFC-OTHER TBLS'!$A$3:$BJ$55,23,FALSE),0)</f>
        <v>0</v>
      </c>
      <c r="W74" s="125">
        <f>IFERROR(VLOOKUP(C74,'FY25 IMPACT FILE IFC-OTHER TBLS'!$A$3:$BJ$55,24,FALSE),0)</f>
        <v>0</v>
      </c>
      <c r="X74" s="119">
        <f t="shared" si="16"/>
        <v>0</v>
      </c>
      <c r="Y74" s="119">
        <f t="shared" si="17"/>
        <v>0</v>
      </c>
      <c r="Z74" s="126">
        <f t="shared" si="21"/>
        <v>0</v>
      </c>
      <c r="AA74" s="151" t="s">
        <v>377</v>
      </c>
      <c r="AB74" s="127">
        <f t="shared" si="18"/>
        <v>0</v>
      </c>
      <c r="AC74" s="124" t="s">
        <v>377</v>
      </c>
      <c r="AD74" s="127" t="s">
        <v>377</v>
      </c>
      <c r="AE74" s="10" t="s">
        <v>377</v>
      </c>
      <c r="AF74" s="130">
        <f t="shared" si="19"/>
        <v>0</v>
      </c>
      <c r="AG74" s="129">
        <f t="shared" si="20"/>
        <v>0</v>
      </c>
    </row>
    <row r="75" spans="1:33" x14ac:dyDescent="0.25">
      <c r="A75" s="10">
        <v>13</v>
      </c>
      <c r="B75" s="15">
        <v>61319</v>
      </c>
      <c r="C75" s="16" t="s">
        <v>414</v>
      </c>
      <c r="D75" s="96" t="s">
        <v>415</v>
      </c>
      <c r="E75" s="96"/>
      <c r="F75" s="152" t="str">
        <f>VLOOKUP($B75,Characteristics!$A$2:$K$86,11,FALSE)</f>
        <v>CAH</v>
      </c>
      <c r="G75" s="213">
        <f>VLOOKUP($B75,Characteristics!$A$2:$K$86,3,FALSE)</f>
        <v>1</v>
      </c>
      <c r="H75" s="96"/>
      <c r="I75" s="96"/>
      <c r="J75" s="15">
        <v>61319</v>
      </c>
      <c r="K75" s="120" t="str">
        <f>IFERROR(VLOOKUP(C75,'FY25 IMPACT FILE IFC-OTHER TBLS'!$A$3:$BN$52,63,FALSE),"NA")</f>
        <v>NA</v>
      </c>
      <c r="L75" s="18"/>
      <c r="M75" s="119">
        <f>'FY 2025 IFC Table 1A-1E'!$D$4</f>
        <v>4107.12</v>
      </c>
      <c r="N75" s="120">
        <f>IFERROR(VLOOKUP($C75,'FY25 IMPACT FILE IFC-OTHER TBLS'!$A$3:$BJ$52,12,FALSE),1)</f>
        <v>1</v>
      </c>
      <c r="O75" s="119">
        <f>IF(N75&lt;=1,'FY 2025 IFC Table 1A-1E'!$C$5,'FY 2025 IFC Table 1A-1E'!$B$5)</f>
        <v>2517.27</v>
      </c>
      <c r="P75" s="122">
        <f t="shared" si="13"/>
        <v>6624.3899999999994</v>
      </c>
      <c r="Q75" s="150">
        <f>'FY 2025 IFC Table 1A-1E'!$B$33</f>
        <v>512.14</v>
      </c>
      <c r="R75" s="120">
        <f>IFERROR(VLOOKUP(C75,'FY25 IMPACT FILE IFC-OTHER TBLS'!$A$3:$BJ$52,48,FALSE),1)</f>
        <v>1</v>
      </c>
      <c r="S75" s="119">
        <f t="shared" si="14"/>
        <v>512.14</v>
      </c>
      <c r="T75" s="121">
        <f t="shared" si="15"/>
        <v>7136.53</v>
      </c>
      <c r="U75" s="367">
        <f>IFERROR(VLOOKUP($C75,'GME Add-On Posting'!$A$8:$Q$30,17,FALSE),0)</f>
        <v>0</v>
      </c>
      <c r="V75" s="125">
        <f>IFERROR(VLOOKUP(C75,'FY25 IMPACT FILE IFC-OTHER TBLS'!$A$3:$BJ$55,23,FALSE),0)</f>
        <v>0</v>
      </c>
      <c r="W75" s="125">
        <f>IFERROR(VLOOKUP(C75,'FY25 IMPACT FILE IFC-OTHER TBLS'!$A$3:$BJ$55,24,FALSE),0)</f>
        <v>0</v>
      </c>
      <c r="X75" s="119">
        <f t="shared" si="16"/>
        <v>0</v>
      </c>
      <c r="Y75" s="119">
        <f t="shared" si="17"/>
        <v>0</v>
      </c>
      <c r="Z75" s="126">
        <f t="shared" si="21"/>
        <v>0</v>
      </c>
      <c r="AA75" s="151" t="s">
        <v>377</v>
      </c>
      <c r="AB75" s="127">
        <f t="shared" si="18"/>
        <v>0</v>
      </c>
      <c r="AC75" s="124" t="s">
        <v>377</v>
      </c>
      <c r="AD75" s="127" t="s">
        <v>377</v>
      </c>
      <c r="AE75" s="10" t="s">
        <v>377</v>
      </c>
      <c r="AF75" s="130">
        <f t="shared" si="19"/>
        <v>0</v>
      </c>
      <c r="AG75" s="129">
        <f t="shared" si="20"/>
        <v>0</v>
      </c>
    </row>
    <row r="76" spans="1:33" x14ac:dyDescent="0.25">
      <c r="A76" s="10">
        <v>13</v>
      </c>
      <c r="B76" s="15">
        <v>61320</v>
      </c>
      <c r="C76" s="16" t="s">
        <v>416</v>
      </c>
      <c r="D76" s="96" t="s">
        <v>417</v>
      </c>
      <c r="E76" s="96"/>
      <c r="F76" s="152" t="str">
        <f>VLOOKUP($B76,Characteristics!$A$2:$K$86,11,FALSE)</f>
        <v>CAH</v>
      </c>
      <c r="G76" s="213">
        <f>VLOOKUP($B76,Characteristics!$A$2:$K$86,3,FALSE)</f>
        <v>1</v>
      </c>
      <c r="H76" s="96"/>
      <c r="I76" s="96"/>
      <c r="J76" s="15">
        <v>61320</v>
      </c>
      <c r="K76" s="120" t="str">
        <f>IFERROR(VLOOKUP(C76,'FY25 IMPACT FILE IFC-OTHER TBLS'!$A$3:$BN$52,63,FALSE),"NA")</f>
        <v>NA</v>
      </c>
      <c r="L76" s="18"/>
      <c r="M76" s="119">
        <f>'FY 2025 IFC Table 1A-1E'!$D$4</f>
        <v>4107.12</v>
      </c>
      <c r="N76" s="120">
        <f>IFERROR(VLOOKUP($C76,'FY25 IMPACT FILE IFC-OTHER TBLS'!$A$3:$BJ$52,12,FALSE),1)</f>
        <v>1</v>
      </c>
      <c r="O76" s="119">
        <f>IF(N76&lt;=1,'FY 2025 IFC Table 1A-1E'!$C$5,'FY 2025 IFC Table 1A-1E'!$B$5)</f>
        <v>2517.27</v>
      </c>
      <c r="P76" s="122">
        <f t="shared" si="13"/>
        <v>6624.3899999999994</v>
      </c>
      <c r="Q76" s="150">
        <f>'FY 2025 IFC Table 1A-1E'!$B$33</f>
        <v>512.14</v>
      </c>
      <c r="R76" s="120">
        <f>IFERROR(VLOOKUP(C76,'FY25 IMPACT FILE IFC-OTHER TBLS'!$A$3:$BJ$52,48,FALSE),1)</f>
        <v>1</v>
      </c>
      <c r="S76" s="119">
        <f t="shared" si="14"/>
        <v>512.14</v>
      </c>
      <c r="T76" s="121">
        <f t="shared" si="15"/>
        <v>7136.53</v>
      </c>
      <c r="U76" s="367">
        <f>IFERROR(VLOOKUP($C76,'GME Add-On Posting'!$A$8:$Q$30,17,FALSE),0)</f>
        <v>0</v>
      </c>
      <c r="V76" s="125">
        <f>IFERROR(VLOOKUP(C76,'FY25 IMPACT FILE IFC-OTHER TBLS'!$A$3:$BJ$55,23,FALSE),0)</f>
        <v>0</v>
      </c>
      <c r="W76" s="125">
        <f>IFERROR(VLOOKUP(C76,'FY25 IMPACT FILE IFC-OTHER TBLS'!$A$3:$BJ$55,24,FALSE),0)</f>
        <v>0</v>
      </c>
      <c r="X76" s="119">
        <f t="shared" si="16"/>
        <v>0</v>
      </c>
      <c r="Y76" s="119">
        <f t="shared" si="17"/>
        <v>0</v>
      </c>
      <c r="Z76" s="126">
        <f t="shared" si="21"/>
        <v>0</v>
      </c>
      <c r="AA76" s="151" t="s">
        <v>377</v>
      </c>
      <c r="AB76" s="127">
        <f t="shared" si="18"/>
        <v>0</v>
      </c>
      <c r="AC76" s="124" t="s">
        <v>377</v>
      </c>
      <c r="AD76" s="127" t="s">
        <v>377</v>
      </c>
      <c r="AE76" s="10" t="s">
        <v>377</v>
      </c>
      <c r="AF76" s="130">
        <f t="shared" si="19"/>
        <v>0</v>
      </c>
      <c r="AG76" s="129">
        <f t="shared" si="20"/>
        <v>0</v>
      </c>
    </row>
    <row r="77" spans="1:33" x14ac:dyDescent="0.25">
      <c r="A77" s="10">
        <v>13</v>
      </c>
      <c r="B77" s="15">
        <v>61321</v>
      </c>
      <c r="C77" s="16" t="s">
        <v>418</v>
      </c>
      <c r="D77" s="96" t="s">
        <v>419</v>
      </c>
      <c r="E77" s="96"/>
      <c r="F77" s="152" t="str">
        <f>VLOOKUP($B77,Characteristics!$A$2:$K$86,11,FALSE)</f>
        <v>CAH</v>
      </c>
      <c r="G77" s="213">
        <f>VLOOKUP($B77,Characteristics!$A$2:$K$86,3,FALSE)</f>
        <v>1</v>
      </c>
      <c r="H77" s="96"/>
      <c r="I77" s="96"/>
      <c r="J77" s="15">
        <v>61321</v>
      </c>
      <c r="K77" s="120" t="str">
        <f>IFERROR(VLOOKUP(C77,'FY25 IMPACT FILE IFC-OTHER TBLS'!$A$3:$BN$52,63,FALSE),"NA")</f>
        <v>NA</v>
      </c>
      <c r="L77" s="18"/>
      <c r="M77" s="119">
        <f>'FY 2025 IFC Table 1A-1E'!$D$4</f>
        <v>4107.12</v>
      </c>
      <c r="N77" s="120">
        <f>IFERROR(VLOOKUP($C77,'FY25 IMPACT FILE IFC-OTHER TBLS'!$A$3:$BJ$52,12,FALSE),1)</f>
        <v>1</v>
      </c>
      <c r="O77" s="119">
        <f>IF(N77&lt;=1,'FY 2025 IFC Table 1A-1E'!$C$5,'FY 2025 IFC Table 1A-1E'!$B$5)</f>
        <v>2517.27</v>
      </c>
      <c r="P77" s="122">
        <f t="shared" si="13"/>
        <v>6624.3899999999994</v>
      </c>
      <c r="Q77" s="150">
        <f>'FY 2025 IFC Table 1A-1E'!$B$33</f>
        <v>512.14</v>
      </c>
      <c r="R77" s="120">
        <f>IFERROR(VLOOKUP(C77,'FY25 IMPACT FILE IFC-OTHER TBLS'!$A$3:$BJ$52,48,FALSE),1)</f>
        <v>1</v>
      </c>
      <c r="S77" s="119">
        <f t="shared" si="14"/>
        <v>512.14</v>
      </c>
      <c r="T77" s="121">
        <f t="shared" si="15"/>
        <v>7136.53</v>
      </c>
      <c r="U77" s="367">
        <f>IFERROR(VLOOKUP($C77,'GME Add-On Posting'!$A$8:$Q$30,17,FALSE),0)</f>
        <v>0</v>
      </c>
      <c r="V77" s="125">
        <f>IFERROR(VLOOKUP(C77,'FY25 IMPACT FILE IFC-OTHER TBLS'!$A$3:$BJ$55,23,FALSE),0)</f>
        <v>0</v>
      </c>
      <c r="W77" s="125">
        <f>IFERROR(VLOOKUP(C77,'FY25 IMPACT FILE IFC-OTHER TBLS'!$A$3:$BJ$55,24,FALSE),0)</f>
        <v>0</v>
      </c>
      <c r="X77" s="119">
        <f t="shared" si="16"/>
        <v>0</v>
      </c>
      <c r="Y77" s="119">
        <f t="shared" si="17"/>
        <v>0</v>
      </c>
      <c r="Z77" s="126">
        <f t="shared" si="21"/>
        <v>0</v>
      </c>
      <c r="AA77" s="151" t="s">
        <v>377</v>
      </c>
      <c r="AB77" s="127">
        <f t="shared" si="18"/>
        <v>0</v>
      </c>
      <c r="AC77" s="124" t="s">
        <v>377</v>
      </c>
      <c r="AD77" s="127" t="s">
        <v>377</v>
      </c>
      <c r="AE77" s="10" t="s">
        <v>377</v>
      </c>
      <c r="AF77" s="130">
        <f t="shared" si="19"/>
        <v>0</v>
      </c>
      <c r="AG77" s="129">
        <f t="shared" si="20"/>
        <v>0</v>
      </c>
    </row>
    <row r="78" spans="1:33" x14ac:dyDescent="0.25">
      <c r="A78" s="10">
        <v>13</v>
      </c>
      <c r="B78" s="15">
        <v>61322</v>
      </c>
      <c r="C78" s="16" t="s">
        <v>420</v>
      </c>
      <c r="D78" s="96" t="s">
        <v>421</v>
      </c>
      <c r="E78" s="96"/>
      <c r="F78" s="152" t="str">
        <f>VLOOKUP($B78,Characteristics!$A$2:$K$86,11,FALSE)</f>
        <v>CAH</v>
      </c>
      <c r="G78" s="213">
        <f>VLOOKUP($B78,Characteristics!$A$2:$K$86,3,FALSE)</f>
        <v>1</v>
      </c>
      <c r="H78" s="96"/>
      <c r="I78" s="96"/>
      <c r="J78" s="15">
        <v>61322</v>
      </c>
      <c r="K78" s="120" t="str">
        <f>IFERROR(VLOOKUP(C78,'FY25 IMPACT FILE IFC-OTHER TBLS'!$A$3:$BN$52,63,FALSE),"NA")</f>
        <v>NA</v>
      </c>
      <c r="L78" s="18"/>
      <c r="M78" s="119">
        <f>'FY 2025 IFC Table 1A-1E'!$D$4</f>
        <v>4107.12</v>
      </c>
      <c r="N78" s="120">
        <f>IFERROR(VLOOKUP($C78,'FY25 IMPACT FILE IFC-OTHER TBLS'!$A$3:$BJ$52,12,FALSE),1)</f>
        <v>1</v>
      </c>
      <c r="O78" s="119">
        <f>IF(N78&lt;=1,'FY 2025 IFC Table 1A-1E'!$C$5,'FY 2025 IFC Table 1A-1E'!$B$5)</f>
        <v>2517.27</v>
      </c>
      <c r="P78" s="122">
        <f t="shared" si="13"/>
        <v>6624.3899999999994</v>
      </c>
      <c r="Q78" s="150">
        <f>'FY 2025 IFC Table 1A-1E'!$B$33</f>
        <v>512.14</v>
      </c>
      <c r="R78" s="120">
        <f>IFERROR(VLOOKUP(C78,'FY25 IMPACT FILE IFC-OTHER TBLS'!$A$3:$BJ$52,48,FALSE),1)</f>
        <v>1</v>
      </c>
      <c r="S78" s="119">
        <f t="shared" si="14"/>
        <v>512.14</v>
      </c>
      <c r="T78" s="121">
        <f t="shared" si="15"/>
        <v>7136.53</v>
      </c>
      <c r="U78" s="367">
        <f>IFERROR(VLOOKUP($C78,'GME Add-On Posting'!$A$8:$Q$30,17,FALSE),0)</f>
        <v>0</v>
      </c>
      <c r="V78" s="125">
        <f>IFERROR(VLOOKUP(C78,'FY25 IMPACT FILE IFC-OTHER TBLS'!$A$3:$BJ$55,23,FALSE),0)</f>
        <v>0</v>
      </c>
      <c r="W78" s="125">
        <f>IFERROR(VLOOKUP(C78,'FY25 IMPACT FILE IFC-OTHER TBLS'!$A$3:$BJ$55,24,FALSE),0)</f>
        <v>0</v>
      </c>
      <c r="X78" s="119">
        <f t="shared" si="16"/>
        <v>0</v>
      </c>
      <c r="Y78" s="119">
        <f t="shared" si="17"/>
        <v>0</v>
      </c>
      <c r="Z78" s="126">
        <f t="shared" si="21"/>
        <v>0</v>
      </c>
      <c r="AA78" s="151" t="s">
        <v>377</v>
      </c>
      <c r="AB78" s="127">
        <f t="shared" si="18"/>
        <v>0</v>
      </c>
      <c r="AC78" s="124" t="s">
        <v>377</v>
      </c>
      <c r="AD78" s="127" t="s">
        <v>377</v>
      </c>
      <c r="AE78" s="10" t="s">
        <v>377</v>
      </c>
      <c r="AF78" s="130">
        <f t="shared" si="19"/>
        <v>0</v>
      </c>
      <c r="AG78" s="129">
        <f t="shared" si="20"/>
        <v>0</v>
      </c>
    </row>
    <row r="79" spans="1:33" x14ac:dyDescent="0.25">
      <c r="A79" s="10">
        <v>13</v>
      </c>
      <c r="B79" s="15">
        <v>61323</v>
      </c>
      <c r="C79" s="16" t="s">
        <v>422</v>
      </c>
      <c r="D79" s="96" t="s">
        <v>423</v>
      </c>
      <c r="E79" s="96"/>
      <c r="F79" s="152" t="str">
        <f>VLOOKUP($B79,Characteristics!$A$2:$K$86,11,FALSE)</f>
        <v>CAH</v>
      </c>
      <c r="G79" s="213">
        <f>VLOOKUP($B79,Characteristics!$A$2:$K$86,3,FALSE)</f>
        <v>1</v>
      </c>
      <c r="H79" s="96"/>
      <c r="I79" s="96"/>
      <c r="J79" s="15">
        <v>61323</v>
      </c>
      <c r="K79" s="120" t="str">
        <f>IFERROR(VLOOKUP(C79,'FY25 IMPACT FILE IFC-OTHER TBLS'!$A$3:$BN$52,63,FALSE),"NA")</f>
        <v>NA</v>
      </c>
      <c r="L79" s="18"/>
      <c r="M79" s="119">
        <f>'FY 2025 IFC Table 1A-1E'!$D$4</f>
        <v>4107.12</v>
      </c>
      <c r="N79" s="120">
        <f>IFERROR(VLOOKUP($C79,'FY25 IMPACT FILE IFC-OTHER TBLS'!$A$3:$BJ$52,12,FALSE),1)</f>
        <v>1</v>
      </c>
      <c r="O79" s="119">
        <f>IF(N79&lt;=1,'FY 2025 IFC Table 1A-1E'!$C$5,'FY 2025 IFC Table 1A-1E'!$B$5)</f>
        <v>2517.27</v>
      </c>
      <c r="P79" s="122">
        <f t="shared" si="13"/>
        <v>6624.3899999999994</v>
      </c>
      <c r="Q79" s="150">
        <f>'FY 2025 IFC Table 1A-1E'!$B$33</f>
        <v>512.14</v>
      </c>
      <c r="R79" s="120">
        <f>IFERROR(VLOOKUP(C79,'FY25 IMPACT FILE IFC-OTHER TBLS'!$A$3:$BJ$52,48,FALSE),1)</f>
        <v>1</v>
      </c>
      <c r="S79" s="119">
        <f t="shared" si="14"/>
        <v>512.14</v>
      </c>
      <c r="T79" s="121">
        <f t="shared" si="15"/>
        <v>7136.53</v>
      </c>
      <c r="U79" s="367">
        <f>IFERROR(VLOOKUP($C79,'GME Add-On Posting'!$A$8:$Q$30,17,FALSE),0)</f>
        <v>0</v>
      </c>
      <c r="V79" s="125">
        <f>IFERROR(VLOOKUP(C79,'FY25 IMPACT FILE IFC-OTHER TBLS'!$A$3:$BJ$55,23,FALSE),0)</f>
        <v>0</v>
      </c>
      <c r="W79" s="125">
        <f>IFERROR(VLOOKUP(C79,'FY25 IMPACT FILE IFC-OTHER TBLS'!$A$3:$BJ$55,24,FALSE),0)</f>
        <v>0</v>
      </c>
      <c r="X79" s="119">
        <f t="shared" si="16"/>
        <v>0</v>
      </c>
      <c r="Y79" s="119">
        <f t="shared" si="17"/>
        <v>0</v>
      </c>
      <c r="Z79" s="126">
        <f t="shared" si="21"/>
        <v>0</v>
      </c>
      <c r="AA79" s="151" t="s">
        <v>377</v>
      </c>
      <c r="AB79" s="127">
        <f t="shared" si="18"/>
        <v>0</v>
      </c>
      <c r="AC79" s="124" t="s">
        <v>377</v>
      </c>
      <c r="AD79" s="127" t="s">
        <v>377</v>
      </c>
      <c r="AE79" s="10" t="s">
        <v>377</v>
      </c>
      <c r="AF79" s="130">
        <f t="shared" si="19"/>
        <v>0</v>
      </c>
      <c r="AG79" s="129">
        <f t="shared" si="20"/>
        <v>0</v>
      </c>
    </row>
    <row r="80" spans="1:33" x14ac:dyDescent="0.25">
      <c r="A80" s="10">
        <v>13</v>
      </c>
      <c r="B80" s="15">
        <v>61324</v>
      </c>
      <c r="C80" s="16" t="s">
        <v>424</v>
      </c>
      <c r="D80" s="96" t="s">
        <v>425</v>
      </c>
      <c r="E80" s="96"/>
      <c r="F80" s="152" t="str">
        <f>VLOOKUP($B80,Characteristics!$A$2:$K$86,11,FALSE)</f>
        <v>CAH</v>
      </c>
      <c r="G80" s="213">
        <f>VLOOKUP($B80,Characteristics!$A$2:$K$86,3,FALSE)</f>
        <v>1</v>
      </c>
      <c r="H80" s="96"/>
      <c r="I80" s="96"/>
      <c r="J80" s="15">
        <v>61324</v>
      </c>
      <c r="K80" s="120" t="str">
        <f>IFERROR(VLOOKUP(C80,'FY25 IMPACT FILE IFC-OTHER TBLS'!$A$3:$BN$52,63,FALSE),"NA")</f>
        <v>NA</v>
      </c>
      <c r="L80" s="18"/>
      <c r="M80" s="119">
        <f>'FY 2025 IFC Table 1A-1E'!$D$4</f>
        <v>4107.12</v>
      </c>
      <c r="N80" s="120">
        <f>IFERROR(VLOOKUP($C80,'FY25 IMPACT FILE IFC-OTHER TBLS'!$A$3:$BJ$52,12,FALSE),1)</f>
        <v>1</v>
      </c>
      <c r="O80" s="119">
        <f>IF(N80&lt;=1,'FY 2025 IFC Table 1A-1E'!$C$5,'FY 2025 IFC Table 1A-1E'!$B$5)</f>
        <v>2517.27</v>
      </c>
      <c r="P80" s="122">
        <f t="shared" si="13"/>
        <v>6624.3899999999994</v>
      </c>
      <c r="Q80" s="150">
        <f>'FY 2025 IFC Table 1A-1E'!$B$33</f>
        <v>512.14</v>
      </c>
      <c r="R80" s="120">
        <f>IFERROR(VLOOKUP(C80,'FY25 IMPACT FILE IFC-OTHER TBLS'!$A$3:$BJ$52,48,FALSE),1)</f>
        <v>1</v>
      </c>
      <c r="S80" s="119">
        <f t="shared" si="14"/>
        <v>512.14</v>
      </c>
      <c r="T80" s="121">
        <f t="shared" si="15"/>
        <v>7136.53</v>
      </c>
      <c r="U80" s="367">
        <f>IFERROR(VLOOKUP($C80,'GME Add-On Posting'!$A$8:$Q$30,17,FALSE),0)</f>
        <v>0</v>
      </c>
      <c r="V80" s="125">
        <f>IFERROR(VLOOKUP(C80,'FY25 IMPACT FILE IFC-OTHER TBLS'!$A$3:$BJ$55,23,FALSE),0)</f>
        <v>0</v>
      </c>
      <c r="W80" s="125">
        <f>IFERROR(VLOOKUP(C80,'FY25 IMPACT FILE IFC-OTHER TBLS'!$A$3:$BJ$55,24,FALSE),0)</f>
        <v>0</v>
      </c>
      <c r="X80" s="119">
        <f t="shared" si="16"/>
        <v>0</v>
      </c>
      <c r="Y80" s="119">
        <f t="shared" si="17"/>
        <v>0</v>
      </c>
      <c r="Z80" s="126">
        <f t="shared" si="21"/>
        <v>0</v>
      </c>
      <c r="AA80" s="151" t="s">
        <v>377</v>
      </c>
      <c r="AB80" s="127">
        <f t="shared" si="18"/>
        <v>0</v>
      </c>
      <c r="AC80" s="124" t="s">
        <v>377</v>
      </c>
      <c r="AD80" s="127" t="s">
        <v>377</v>
      </c>
      <c r="AE80" s="10" t="s">
        <v>377</v>
      </c>
      <c r="AF80" s="130">
        <f t="shared" si="19"/>
        <v>0</v>
      </c>
      <c r="AG80" s="129">
        <f t="shared" si="20"/>
        <v>0</v>
      </c>
    </row>
    <row r="81" spans="1:33" x14ac:dyDescent="0.25">
      <c r="A81" s="10">
        <v>13</v>
      </c>
      <c r="B81" s="15">
        <v>61325</v>
      </c>
      <c r="C81" s="16" t="s">
        <v>426</v>
      </c>
      <c r="D81" s="96" t="s">
        <v>427</v>
      </c>
      <c r="E81" s="96"/>
      <c r="F81" s="152" t="str">
        <f>VLOOKUP($B81,Characteristics!$A$2:$K$86,11,FALSE)</f>
        <v>CAH</v>
      </c>
      <c r="G81" s="213">
        <f>VLOOKUP($B81,Characteristics!$A$2:$K$86,3,FALSE)</f>
        <v>1</v>
      </c>
      <c r="H81" s="96"/>
      <c r="I81" s="96"/>
      <c r="J81" s="15">
        <v>61325</v>
      </c>
      <c r="K81" s="120" t="str">
        <f>IFERROR(VLOOKUP(C81,'FY25 IMPACT FILE IFC-OTHER TBLS'!$A$3:$BN$52,63,FALSE),"NA")</f>
        <v>NA</v>
      </c>
      <c r="L81" s="18"/>
      <c r="M81" s="119">
        <f>'FY 2025 IFC Table 1A-1E'!$D$4</f>
        <v>4107.12</v>
      </c>
      <c r="N81" s="120">
        <f>IFERROR(VLOOKUP($C81,'FY25 IMPACT FILE IFC-OTHER TBLS'!$A$3:$BJ$52,12,FALSE),1)</f>
        <v>1</v>
      </c>
      <c r="O81" s="119">
        <f>IF(N81&lt;=1,'FY 2025 IFC Table 1A-1E'!$C$5,'FY 2025 IFC Table 1A-1E'!$B$5)</f>
        <v>2517.27</v>
      </c>
      <c r="P81" s="122">
        <f t="shared" si="13"/>
        <v>6624.3899999999994</v>
      </c>
      <c r="Q81" s="150">
        <f>'FY 2025 IFC Table 1A-1E'!$B$33</f>
        <v>512.14</v>
      </c>
      <c r="R81" s="120">
        <f>IFERROR(VLOOKUP(C81,'FY25 IMPACT FILE IFC-OTHER TBLS'!$A$3:$BJ$52,48,FALSE),1)</f>
        <v>1</v>
      </c>
      <c r="S81" s="119">
        <f t="shared" si="14"/>
        <v>512.14</v>
      </c>
      <c r="T81" s="121">
        <f t="shared" si="15"/>
        <v>7136.53</v>
      </c>
      <c r="U81" s="367">
        <f>IFERROR(VLOOKUP($C81,'GME Add-On Posting'!$A$8:$Q$30,17,FALSE),0)</f>
        <v>0</v>
      </c>
      <c r="V81" s="125">
        <f>IFERROR(VLOOKUP(C81,'FY25 IMPACT FILE IFC-OTHER TBLS'!$A$3:$BJ$55,23,FALSE),0)</f>
        <v>0</v>
      </c>
      <c r="W81" s="125">
        <f>IFERROR(VLOOKUP(C81,'FY25 IMPACT FILE IFC-OTHER TBLS'!$A$3:$BJ$55,24,FALSE),0)</f>
        <v>0</v>
      </c>
      <c r="X81" s="119">
        <f t="shared" si="16"/>
        <v>0</v>
      </c>
      <c r="Y81" s="119">
        <f t="shared" si="17"/>
        <v>0</v>
      </c>
      <c r="Z81" s="126">
        <f t="shared" si="21"/>
        <v>0</v>
      </c>
      <c r="AA81" s="151" t="s">
        <v>377</v>
      </c>
      <c r="AB81" s="127">
        <f t="shared" si="18"/>
        <v>0</v>
      </c>
      <c r="AC81" s="124" t="s">
        <v>377</v>
      </c>
      <c r="AD81" s="127" t="s">
        <v>377</v>
      </c>
      <c r="AE81" s="10" t="s">
        <v>377</v>
      </c>
      <c r="AF81" s="130">
        <f t="shared" si="19"/>
        <v>0</v>
      </c>
      <c r="AG81" s="129">
        <f t="shared" si="20"/>
        <v>0</v>
      </c>
    </row>
    <row r="82" spans="1:33" x14ac:dyDescent="0.25">
      <c r="A82" s="10">
        <v>13</v>
      </c>
      <c r="B82" s="15">
        <v>61326</v>
      </c>
      <c r="C82" s="16" t="s">
        <v>428</v>
      </c>
      <c r="D82" s="96" t="s">
        <v>429</v>
      </c>
      <c r="E82" s="96" t="s">
        <v>304</v>
      </c>
      <c r="F82" s="152" t="str">
        <f>VLOOKUP($B82,Characteristics!$A$2:$K$86,11,FALSE)</f>
        <v>CAH</v>
      </c>
      <c r="G82" s="213">
        <f>VLOOKUP($B82,Characteristics!$A$2:$K$86,3,FALSE)</f>
        <v>0</v>
      </c>
      <c r="H82" s="96"/>
      <c r="I82" s="96"/>
      <c r="J82" s="15">
        <v>61326</v>
      </c>
      <c r="K82" s="120" t="str">
        <f>IFERROR(VLOOKUP(C82,'FY25 IMPACT FILE IFC-OTHER TBLS'!$A$3:$BN$52,63,FALSE),"NA")</f>
        <v>NA</v>
      </c>
      <c r="L82" s="18"/>
      <c r="M82" s="119">
        <f>'FY 2025 IFC Table 1A-1E'!$D$4</f>
        <v>4107.12</v>
      </c>
      <c r="N82" s="120">
        <f>IFERROR(VLOOKUP($C82,'FY25 IMPACT FILE IFC-OTHER TBLS'!$A$3:$BJ$52,12,FALSE),1)</f>
        <v>1</v>
      </c>
      <c r="O82" s="119">
        <f>IF(N82&lt;=1,'FY 2025 IFC Table 1A-1E'!$C$5,'FY 2025 IFC Table 1A-1E'!$B$5)</f>
        <v>2517.27</v>
      </c>
      <c r="P82" s="122">
        <f t="shared" si="13"/>
        <v>6624.3899999999994</v>
      </c>
      <c r="Q82" s="150">
        <f>'FY 2025 IFC Table 1A-1E'!$B$33</f>
        <v>512.14</v>
      </c>
      <c r="R82" s="120">
        <f>IFERROR(VLOOKUP(C82,'FY25 IMPACT FILE IFC-OTHER TBLS'!$A$3:$BJ$52,48,FALSE),1)</f>
        <v>1</v>
      </c>
      <c r="S82" s="119">
        <f t="shared" si="14"/>
        <v>512.14</v>
      </c>
      <c r="T82" s="121">
        <f t="shared" si="15"/>
        <v>7136.53</v>
      </c>
      <c r="U82" s="367">
        <f>IFERROR(VLOOKUP($C82,'GME Add-On Posting'!$A$8:$Q$30,17,FALSE),0)</f>
        <v>0</v>
      </c>
      <c r="V82" s="125">
        <f>IFERROR(VLOOKUP(C82,'FY25 IMPACT FILE IFC-OTHER TBLS'!$A$3:$BJ$55,23,FALSE),0)</f>
        <v>0</v>
      </c>
      <c r="W82" s="125">
        <f>IFERROR(VLOOKUP(C82,'FY25 IMPACT FILE IFC-OTHER TBLS'!$A$3:$BJ$55,24,FALSE),0)</f>
        <v>0</v>
      </c>
      <c r="X82" s="119">
        <f t="shared" si="16"/>
        <v>0</v>
      </c>
      <c r="Y82" s="119">
        <f t="shared" si="17"/>
        <v>0</v>
      </c>
      <c r="Z82" s="126">
        <f t="shared" si="21"/>
        <v>0</v>
      </c>
      <c r="AA82" s="151" t="s">
        <v>377</v>
      </c>
      <c r="AB82" s="127">
        <f t="shared" si="18"/>
        <v>0</v>
      </c>
      <c r="AC82" s="124" t="s">
        <v>377</v>
      </c>
      <c r="AD82" s="127" t="s">
        <v>377</v>
      </c>
      <c r="AE82" s="10" t="s">
        <v>377</v>
      </c>
      <c r="AF82" s="130">
        <f t="shared" si="19"/>
        <v>0</v>
      </c>
      <c r="AG82" s="129">
        <f t="shared" si="20"/>
        <v>0</v>
      </c>
    </row>
    <row r="83" spans="1:33" x14ac:dyDescent="0.25">
      <c r="A83" s="10">
        <v>13</v>
      </c>
      <c r="B83" s="15">
        <v>61327</v>
      </c>
      <c r="C83" s="23" t="s">
        <v>430</v>
      </c>
      <c r="D83" s="96" t="s">
        <v>431</v>
      </c>
      <c r="E83" s="96"/>
      <c r="F83" s="152" t="str">
        <f>VLOOKUP($B83,Characteristics!$A$2:$K$86,11,FALSE)</f>
        <v>CAH</v>
      </c>
      <c r="G83" s="213">
        <f>VLOOKUP($B83,Characteristics!$A$2:$K$86,3,FALSE)</f>
        <v>1</v>
      </c>
      <c r="H83" s="96"/>
      <c r="I83" s="96"/>
      <c r="J83" s="15">
        <v>61327</v>
      </c>
      <c r="K83" s="120" t="str">
        <f>IFERROR(VLOOKUP(C83,'FY25 IMPACT FILE IFC-OTHER TBLS'!$A$3:$BN$52,63,FALSE),"NA")</f>
        <v>NA</v>
      </c>
      <c r="L83" s="18"/>
      <c r="M83" s="119">
        <f>'FY 2025 IFC Table 1A-1E'!$D$4</f>
        <v>4107.12</v>
      </c>
      <c r="N83" s="120">
        <f>IFERROR(VLOOKUP($C83,'FY25 IMPACT FILE IFC-OTHER TBLS'!$A$3:$BJ$52,12,FALSE),1)</f>
        <v>1</v>
      </c>
      <c r="O83" s="119">
        <f>IF(N83&lt;=1,'FY 2025 IFC Table 1A-1E'!$C$5,'FY 2025 IFC Table 1A-1E'!$B$5)</f>
        <v>2517.27</v>
      </c>
      <c r="P83" s="122">
        <f t="shared" si="13"/>
        <v>6624.3899999999994</v>
      </c>
      <c r="Q83" s="150">
        <f>'FY 2025 IFC Table 1A-1E'!$B$33</f>
        <v>512.14</v>
      </c>
      <c r="R83" s="120">
        <f>IFERROR(VLOOKUP(C83,'FY25 IMPACT FILE IFC-OTHER TBLS'!$A$3:$BJ$52,48,FALSE),1)</f>
        <v>1</v>
      </c>
      <c r="S83" s="119">
        <f t="shared" si="14"/>
        <v>512.14</v>
      </c>
      <c r="T83" s="121">
        <f t="shared" si="15"/>
        <v>7136.53</v>
      </c>
      <c r="U83" s="367">
        <f>IFERROR(VLOOKUP($C83,'GME Add-On Posting'!$A$8:$Q$30,17,FALSE),0)</f>
        <v>0</v>
      </c>
      <c r="V83" s="125">
        <f>IFERROR(VLOOKUP(C83,'FY25 IMPACT FILE IFC-OTHER TBLS'!$A$3:$BJ$55,23,FALSE),0)</f>
        <v>0</v>
      </c>
      <c r="W83" s="125">
        <f>IFERROR(VLOOKUP(C83,'FY25 IMPACT FILE IFC-OTHER TBLS'!$A$3:$BJ$55,24,FALSE),0)</f>
        <v>0</v>
      </c>
      <c r="X83" s="119">
        <f t="shared" si="16"/>
        <v>0</v>
      </c>
      <c r="Y83" s="119">
        <f t="shared" si="17"/>
        <v>0</v>
      </c>
      <c r="Z83" s="126">
        <f t="shared" si="21"/>
        <v>0</v>
      </c>
      <c r="AA83" s="151" t="s">
        <v>377</v>
      </c>
      <c r="AB83" s="127">
        <f t="shared" si="18"/>
        <v>0</v>
      </c>
      <c r="AC83" s="124" t="s">
        <v>377</v>
      </c>
      <c r="AD83" s="127" t="s">
        <v>377</v>
      </c>
      <c r="AE83" s="10" t="s">
        <v>377</v>
      </c>
      <c r="AF83" s="130">
        <f t="shared" si="19"/>
        <v>0</v>
      </c>
      <c r="AG83" s="129">
        <f t="shared" si="20"/>
        <v>0</v>
      </c>
    </row>
    <row r="84" spans="1:33" x14ac:dyDescent="0.25">
      <c r="A84" s="10">
        <v>13</v>
      </c>
      <c r="B84" s="15">
        <v>61328</v>
      </c>
      <c r="C84" s="16" t="s">
        <v>432</v>
      </c>
      <c r="D84" s="96" t="s">
        <v>433</v>
      </c>
      <c r="E84" s="96"/>
      <c r="F84" s="152" t="str">
        <f>VLOOKUP($B84,Characteristics!$A$2:$K$86,11,FALSE)</f>
        <v>CAH</v>
      </c>
      <c r="G84" s="213">
        <f>VLOOKUP($B84,Characteristics!$A$2:$K$86,3,FALSE)</f>
        <v>1</v>
      </c>
      <c r="H84" s="96"/>
      <c r="I84" s="96"/>
      <c r="J84" s="15">
        <v>61328</v>
      </c>
      <c r="K84" s="120" t="str">
        <f>IFERROR(VLOOKUP(C84,'FY25 IMPACT FILE IFC-OTHER TBLS'!$A$3:$BN$52,63,FALSE),"NA")</f>
        <v>NA</v>
      </c>
      <c r="L84" s="18"/>
      <c r="M84" s="119">
        <f>'FY 2025 IFC Table 1A-1E'!$D$4</f>
        <v>4107.12</v>
      </c>
      <c r="N84" s="120">
        <f>IFERROR(VLOOKUP($C84,'FY25 IMPACT FILE IFC-OTHER TBLS'!$A$3:$BJ$52,12,FALSE),1)</f>
        <v>1</v>
      </c>
      <c r="O84" s="119">
        <f>IF(N84&lt;=1,'FY 2025 IFC Table 1A-1E'!$C$5,'FY 2025 IFC Table 1A-1E'!$B$5)</f>
        <v>2517.27</v>
      </c>
      <c r="P84" s="122">
        <f t="shared" si="13"/>
        <v>6624.3899999999994</v>
      </c>
      <c r="Q84" s="150">
        <f>'FY 2025 IFC Table 1A-1E'!$B$33</f>
        <v>512.14</v>
      </c>
      <c r="R84" s="120">
        <f>IFERROR(VLOOKUP(C84,'FY25 IMPACT FILE IFC-OTHER TBLS'!$A$3:$BJ$52,48,FALSE),1)</f>
        <v>1</v>
      </c>
      <c r="S84" s="119">
        <f t="shared" si="14"/>
        <v>512.14</v>
      </c>
      <c r="T84" s="121">
        <f t="shared" si="15"/>
        <v>7136.53</v>
      </c>
      <c r="U84" s="367">
        <f>IFERROR(VLOOKUP($C84,'GME Add-On Posting'!$A$8:$Q$30,17,FALSE),0)</f>
        <v>0</v>
      </c>
      <c r="V84" s="125">
        <f>IFERROR(VLOOKUP(C84,'FY25 IMPACT FILE IFC-OTHER TBLS'!$A$3:$BJ$55,23,FALSE),0)</f>
        <v>0</v>
      </c>
      <c r="W84" s="125">
        <f>IFERROR(VLOOKUP(C84,'FY25 IMPACT FILE IFC-OTHER TBLS'!$A$3:$BJ$55,24,FALSE),0)</f>
        <v>0</v>
      </c>
      <c r="X84" s="119">
        <f t="shared" si="16"/>
        <v>0</v>
      </c>
      <c r="Y84" s="119">
        <f t="shared" si="17"/>
        <v>0</v>
      </c>
      <c r="Z84" s="126">
        <f t="shared" si="21"/>
        <v>0</v>
      </c>
      <c r="AA84" s="151" t="s">
        <v>377</v>
      </c>
      <c r="AB84" s="127">
        <f t="shared" si="18"/>
        <v>0</v>
      </c>
      <c r="AC84" s="124" t="s">
        <v>377</v>
      </c>
      <c r="AD84" s="127" t="s">
        <v>377</v>
      </c>
      <c r="AE84" s="10" t="s">
        <v>377</v>
      </c>
      <c r="AF84" s="130">
        <f t="shared" si="19"/>
        <v>0</v>
      </c>
      <c r="AG84" s="129">
        <f t="shared" si="20"/>
        <v>0</v>
      </c>
    </row>
    <row r="85" spans="1:33" x14ac:dyDescent="0.25">
      <c r="A85" s="10">
        <v>13</v>
      </c>
      <c r="B85" s="15">
        <v>61336</v>
      </c>
      <c r="C85" s="16" t="s">
        <v>434</v>
      </c>
      <c r="D85" s="96" t="s">
        <v>435</v>
      </c>
      <c r="E85" s="96"/>
      <c r="F85" s="152" t="str">
        <f>VLOOKUP($B85,Characteristics!$A$2:$K$86,11,FALSE)</f>
        <v>CAH</v>
      </c>
      <c r="G85" s="213">
        <f>VLOOKUP($B85,Characteristics!$A$2:$K$86,3,FALSE)</f>
        <v>1</v>
      </c>
      <c r="H85" s="96"/>
      <c r="I85" s="96"/>
      <c r="J85" s="15">
        <v>61336</v>
      </c>
      <c r="K85" s="120" t="str">
        <f>IFERROR(VLOOKUP(C85,'FY25 IMPACT FILE IFC-OTHER TBLS'!$A$3:$BN$52,63,FALSE),"NA")</f>
        <v>NA</v>
      </c>
      <c r="L85" s="18"/>
      <c r="M85" s="119">
        <f>'FY 2025 IFC Table 1A-1E'!$D$4</f>
        <v>4107.12</v>
      </c>
      <c r="N85" s="120">
        <f>IFERROR(VLOOKUP($C85,'FY25 IMPACT FILE IFC-OTHER TBLS'!$A$3:$BJ$52,12,FALSE),1)</f>
        <v>1</v>
      </c>
      <c r="O85" s="119">
        <f>IF(N85&lt;=1,'FY 2025 IFC Table 1A-1E'!$C$5,'FY 2025 IFC Table 1A-1E'!$B$5)</f>
        <v>2517.27</v>
      </c>
      <c r="P85" s="122">
        <f t="shared" si="13"/>
        <v>6624.3899999999994</v>
      </c>
      <c r="Q85" s="150">
        <f>'FY 2025 IFC Table 1A-1E'!$B$33</f>
        <v>512.14</v>
      </c>
      <c r="R85" s="120">
        <f>IFERROR(VLOOKUP(C85,'FY25 IMPACT FILE IFC-OTHER TBLS'!$A$3:$BJ$52,48,FALSE),1)</f>
        <v>1</v>
      </c>
      <c r="S85" s="119">
        <f t="shared" si="14"/>
        <v>512.14</v>
      </c>
      <c r="T85" s="121">
        <f t="shared" si="15"/>
        <v>7136.53</v>
      </c>
      <c r="U85" s="367">
        <f>IFERROR(VLOOKUP($C85,'GME Add-On Posting'!$A$8:$Q$30,17,FALSE),0)</f>
        <v>0</v>
      </c>
      <c r="V85" s="125">
        <f>IFERROR(VLOOKUP(C85,'FY25 IMPACT FILE IFC-OTHER TBLS'!$A$3:$BJ$55,23,FALSE),0)</f>
        <v>0</v>
      </c>
      <c r="W85" s="125">
        <f>IFERROR(VLOOKUP(C85,'FY25 IMPACT FILE IFC-OTHER TBLS'!$A$3:$BJ$55,24,FALSE),0)</f>
        <v>0</v>
      </c>
      <c r="X85" s="119">
        <f t="shared" si="16"/>
        <v>0</v>
      </c>
      <c r="Y85" s="119">
        <f t="shared" si="17"/>
        <v>0</v>
      </c>
      <c r="Z85" s="126">
        <f t="shared" si="21"/>
        <v>0</v>
      </c>
      <c r="AA85" s="151" t="s">
        <v>377</v>
      </c>
      <c r="AB85" s="127">
        <f t="shared" si="18"/>
        <v>0</v>
      </c>
      <c r="AC85" s="124" t="s">
        <v>377</v>
      </c>
      <c r="AD85" s="127" t="s">
        <v>377</v>
      </c>
      <c r="AE85" s="10" t="s">
        <v>377</v>
      </c>
      <c r="AF85" s="130">
        <f t="shared" si="19"/>
        <v>0</v>
      </c>
      <c r="AG85" s="129">
        <f t="shared" si="20"/>
        <v>0</v>
      </c>
    </row>
    <row r="86" spans="1:33" x14ac:dyDescent="0.25">
      <c r="A86" s="10">
        <v>13</v>
      </c>
      <c r="B86" s="15">
        <v>61343</v>
      </c>
      <c r="C86" s="16" t="s">
        <v>436</v>
      </c>
      <c r="D86" s="96" t="s">
        <v>437</v>
      </c>
      <c r="E86" s="96"/>
      <c r="F86" s="152" t="str">
        <f>VLOOKUP($B86,Characteristics!$A$2:$K$86,11,FALSE)</f>
        <v>CAH</v>
      </c>
      <c r="G86" s="213">
        <f>VLOOKUP($B86,Characteristics!$A$2:$K$86,3,FALSE)</f>
        <v>1</v>
      </c>
      <c r="H86" s="96"/>
      <c r="I86" s="96"/>
      <c r="J86" s="15">
        <v>61343</v>
      </c>
      <c r="K86" s="120" t="str">
        <f>IFERROR(VLOOKUP(C86,'FY25 IMPACT FILE IFC-OTHER TBLS'!$A$3:$BN$52,63,FALSE),"NA")</f>
        <v>NA</v>
      </c>
      <c r="L86" s="18"/>
      <c r="M86" s="119">
        <f>'FY 2025 IFC Table 1A-1E'!$D$4</f>
        <v>4107.12</v>
      </c>
      <c r="N86" s="120">
        <f>IFERROR(VLOOKUP($C86,'FY25 IMPACT FILE IFC-OTHER TBLS'!$A$3:$BJ$52,12,FALSE),1)</f>
        <v>1</v>
      </c>
      <c r="O86" s="119">
        <f>IF(N86&lt;=1,'FY 2025 IFC Table 1A-1E'!$C$5,'FY 2025 IFC Table 1A-1E'!$B$5)</f>
        <v>2517.27</v>
      </c>
      <c r="P86" s="122">
        <f t="shared" si="13"/>
        <v>6624.3899999999994</v>
      </c>
      <c r="Q86" s="150">
        <f>'FY 2025 IFC Table 1A-1E'!$B$33</f>
        <v>512.14</v>
      </c>
      <c r="R86" s="120">
        <f>IFERROR(VLOOKUP(C86,'FY25 IMPACT FILE IFC-OTHER TBLS'!$A$3:$BJ$52,48,FALSE),1)</f>
        <v>1</v>
      </c>
      <c r="S86" s="119">
        <f t="shared" si="14"/>
        <v>512.14</v>
      </c>
      <c r="T86" s="121">
        <f t="shared" si="15"/>
        <v>7136.53</v>
      </c>
      <c r="U86" s="367">
        <f>IFERROR(VLOOKUP($C86,'GME Add-On Posting'!$A$8:$Q$30,17,FALSE),0)</f>
        <v>0</v>
      </c>
      <c r="V86" s="125">
        <f>IFERROR(VLOOKUP(C86,'FY25 IMPACT FILE IFC-OTHER TBLS'!$A$3:$BJ$55,23,FALSE),0)</f>
        <v>0</v>
      </c>
      <c r="W86" s="125">
        <f>IFERROR(VLOOKUP(C86,'FY25 IMPACT FILE IFC-OTHER TBLS'!$A$3:$BJ$55,24,FALSE),0)</f>
        <v>0</v>
      </c>
      <c r="X86" s="119">
        <f t="shared" si="16"/>
        <v>0</v>
      </c>
      <c r="Y86" s="119">
        <f t="shared" si="17"/>
        <v>0</v>
      </c>
      <c r="Z86" s="126">
        <f t="shared" si="21"/>
        <v>0</v>
      </c>
      <c r="AA86" s="151" t="s">
        <v>377</v>
      </c>
      <c r="AB86" s="127">
        <f t="shared" si="18"/>
        <v>0</v>
      </c>
      <c r="AC86" s="124" t="s">
        <v>377</v>
      </c>
      <c r="AD86" s="127" t="s">
        <v>377</v>
      </c>
      <c r="AE86" s="10" t="s">
        <v>377</v>
      </c>
      <c r="AF86" s="130">
        <f t="shared" si="19"/>
        <v>0</v>
      </c>
      <c r="AG86" s="129">
        <f t="shared" si="20"/>
        <v>0</v>
      </c>
    </row>
    <row r="87" spans="1:33" x14ac:dyDescent="0.25">
      <c r="A87" s="10">
        <v>13</v>
      </c>
      <c r="B87" s="15">
        <v>61344</v>
      </c>
      <c r="C87" s="16" t="s">
        <v>438</v>
      </c>
      <c r="D87" s="96" t="s">
        <v>439</v>
      </c>
      <c r="E87" s="96" t="s">
        <v>292</v>
      </c>
      <c r="F87" s="152" t="str">
        <f>VLOOKUP($B87,Characteristics!$A$2:$K$86,11,FALSE)</f>
        <v>CAH</v>
      </c>
      <c r="G87" s="213">
        <f>VLOOKUP($B87,Characteristics!$A$2:$K$86,3,FALSE)</f>
        <v>1</v>
      </c>
      <c r="H87" s="96"/>
      <c r="I87" s="96"/>
      <c r="J87" s="15">
        <v>61344</v>
      </c>
      <c r="K87" s="120" t="str">
        <f>IFERROR(VLOOKUP(C87,'FY25 IMPACT FILE IFC-OTHER TBLS'!$A$3:$BN$52,63,FALSE),"NA")</f>
        <v>NA</v>
      </c>
      <c r="L87" s="18"/>
      <c r="M87" s="119">
        <f>'FY 2025 IFC Table 1A-1E'!$D$4</f>
        <v>4107.12</v>
      </c>
      <c r="N87" s="120">
        <f>IFERROR(VLOOKUP($C87,'FY25 IMPACT FILE IFC-OTHER TBLS'!$A$3:$BJ$52,12,FALSE),1)</f>
        <v>1</v>
      </c>
      <c r="O87" s="119">
        <f>IF(N87&lt;=1,'FY 2025 IFC Table 1A-1E'!$C$5,'FY 2025 IFC Table 1A-1E'!$B$5)</f>
        <v>2517.27</v>
      </c>
      <c r="P87" s="122">
        <f t="shared" si="13"/>
        <v>6624.3899999999994</v>
      </c>
      <c r="Q87" s="150">
        <f>'FY 2025 IFC Table 1A-1E'!$B$33</f>
        <v>512.14</v>
      </c>
      <c r="R87" s="120">
        <f>IFERROR(VLOOKUP(C87,'FY25 IMPACT FILE IFC-OTHER TBLS'!$A$3:$BJ$52,48,FALSE),1)</f>
        <v>1</v>
      </c>
      <c r="S87" s="119">
        <f t="shared" si="14"/>
        <v>512.14</v>
      </c>
      <c r="T87" s="121">
        <f t="shared" si="15"/>
        <v>7136.53</v>
      </c>
      <c r="U87" s="367">
        <f>IFERROR(VLOOKUP($C87,'GME Add-On Posting'!$A$8:$Q$30,17,FALSE),0)</f>
        <v>0</v>
      </c>
      <c r="V87" s="125">
        <f>IFERROR(VLOOKUP(C87,'FY25 IMPACT FILE IFC-OTHER TBLS'!$A$3:$BJ$55,23,FALSE),0)</f>
        <v>0</v>
      </c>
      <c r="W87" s="125">
        <f>IFERROR(VLOOKUP(C87,'FY25 IMPACT FILE IFC-OTHER TBLS'!$A$3:$BJ$55,24,FALSE),0)</f>
        <v>0</v>
      </c>
      <c r="X87" s="119">
        <f t="shared" si="16"/>
        <v>0</v>
      </c>
      <c r="Y87" s="119">
        <f t="shared" si="17"/>
        <v>0</v>
      </c>
      <c r="Z87" s="126">
        <f t="shared" si="21"/>
        <v>0</v>
      </c>
      <c r="AA87" s="151" t="s">
        <v>377</v>
      </c>
      <c r="AB87" s="127">
        <f t="shared" si="18"/>
        <v>0</v>
      </c>
      <c r="AC87" s="124" t="s">
        <v>377</v>
      </c>
      <c r="AD87" s="127" t="s">
        <v>377</v>
      </c>
      <c r="AE87" s="10" t="s">
        <v>377</v>
      </c>
      <c r="AF87" s="130">
        <f t="shared" si="19"/>
        <v>0</v>
      </c>
      <c r="AG87" s="129">
        <f t="shared" si="20"/>
        <v>0</v>
      </c>
    </row>
    <row r="88" spans="1:33" x14ac:dyDescent="0.25">
      <c r="A88" s="10">
        <v>33</v>
      </c>
      <c r="B88" s="15">
        <v>63301</v>
      </c>
      <c r="C88" s="16" t="s">
        <v>165</v>
      </c>
      <c r="D88" s="96" t="s">
        <v>220</v>
      </c>
      <c r="E88" s="96" t="s">
        <v>221</v>
      </c>
      <c r="F88" s="152" t="str">
        <f>VLOOKUP($B88,Characteristics!$A$2:$K$86,11,FALSE)</f>
        <v>PED</v>
      </c>
      <c r="G88" s="213">
        <f>VLOOKUP($B88,Characteristics!$A$2:$K$86,3,FALSE)</f>
        <v>2</v>
      </c>
      <c r="H88" s="96"/>
      <c r="I88" s="96"/>
      <c r="J88" s="15">
        <v>63301</v>
      </c>
      <c r="K88" s="120" t="str">
        <f>IFERROR(VLOOKUP(C88,'FY25 IMPACT FILE IFC-OTHER TBLS'!$A$3:$BN$52,63,FALSE),"NA")</f>
        <v>NA</v>
      </c>
      <c r="L88" s="18"/>
      <c r="M88" s="119">
        <f>'FY 2025 IFC Table 1A-1E'!$D$4</f>
        <v>4107.12</v>
      </c>
      <c r="N88" s="120">
        <f>IFERROR(VLOOKUP($C88,'FY25 IMPACT FILE IFC-OTHER TBLS'!$A$3:$BJ$52,12,FALSE),1)</f>
        <v>1</v>
      </c>
      <c r="O88" s="119">
        <f>IF(N88&lt;=1,'FY 2025 IFC Table 1A-1E'!$C$5,'FY 2025 IFC Table 1A-1E'!$B$5)</f>
        <v>2517.27</v>
      </c>
      <c r="P88" s="122">
        <f t="shared" si="13"/>
        <v>6624.3899999999994</v>
      </c>
      <c r="Q88" s="150">
        <f>'FY 2025 IFC Table 1A-1E'!$B$33</f>
        <v>512.14</v>
      </c>
      <c r="R88" s="120">
        <f>IFERROR(VLOOKUP(C88,'FY25 IMPACT FILE IFC-OTHER TBLS'!$A$3:$BJ$52,48,FALSE),1)</f>
        <v>1</v>
      </c>
      <c r="S88" s="119">
        <f t="shared" si="14"/>
        <v>512.14</v>
      </c>
      <c r="T88" s="121">
        <f t="shared" si="15"/>
        <v>7136.53</v>
      </c>
      <c r="U88" s="367">
        <f>IFERROR(VLOOKUP($C88,'GME Add-On Posting'!$A$8:$Q$30,17,FALSE),0)</f>
        <v>188.39379300990529</v>
      </c>
      <c r="V88" s="125">
        <f>IFERROR(VLOOKUP(C88,'FY25 IMPACT FILE IFC-OTHER TBLS'!$A$3:$BJ$55,23,FALSE),0)</f>
        <v>0</v>
      </c>
      <c r="W88" s="125">
        <f>IFERROR(VLOOKUP(C88,'FY25 IMPACT FILE IFC-OTHER TBLS'!$A$3:$BJ$55,24,FALSE),0)</f>
        <v>0</v>
      </c>
      <c r="X88" s="119">
        <f t="shared" si="16"/>
        <v>0</v>
      </c>
      <c r="Y88" s="119">
        <f t="shared" si="17"/>
        <v>0</v>
      </c>
      <c r="Z88" s="365">
        <v>1877.9765144547553</v>
      </c>
      <c r="AA88" s="151" t="s">
        <v>377</v>
      </c>
      <c r="AB88" s="127">
        <f t="shared" si="18"/>
        <v>0</v>
      </c>
      <c r="AC88" s="124" t="s">
        <v>377</v>
      </c>
      <c r="AD88" s="127" t="s">
        <v>377</v>
      </c>
      <c r="AE88" s="10" t="s">
        <v>377</v>
      </c>
      <c r="AF88" s="130">
        <f t="shared" si="19"/>
        <v>0</v>
      </c>
      <c r="AG88" s="129">
        <f t="shared" si="20"/>
        <v>0</v>
      </c>
    </row>
    <row r="89" spans="1:33" x14ac:dyDescent="0.25">
      <c r="A89" s="10">
        <v>33</v>
      </c>
      <c r="B89" s="15">
        <v>63303</v>
      </c>
      <c r="C89" s="16" t="s">
        <v>440</v>
      </c>
      <c r="D89" s="96" t="s">
        <v>441</v>
      </c>
      <c r="E89" s="96" t="s">
        <v>221</v>
      </c>
      <c r="F89" s="152" t="str">
        <f>VLOOKUP($B89,Characteristics!$A$2:$K$86,11,FALSE)</f>
        <v>PED</v>
      </c>
      <c r="G89" s="213">
        <f>VLOOKUP($B89,Characteristics!$A$2:$K$86,3,FALSE)</f>
        <v>2</v>
      </c>
      <c r="H89" s="96"/>
      <c r="I89" s="96"/>
      <c r="J89" s="15">
        <v>63303</v>
      </c>
      <c r="K89" s="120" t="str">
        <f>IFERROR(VLOOKUP(C89,'FY25 IMPACT FILE IFC-OTHER TBLS'!$A$3:$BN$52,63,FALSE),"NA")</f>
        <v>NA</v>
      </c>
      <c r="L89" s="5"/>
      <c r="M89" s="119">
        <f>'FY 2025 IFC Table 1A-1E'!$D$4</f>
        <v>4107.12</v>
      </c>
      <c r="N89" s="120">
        <f>IFERROR(VLOOKUP($C89,'FY25 IMPACT FILE IFC-OTHER TBLS'!$A$3:$BJ$52,12,FALSE),1)</f>
        <v>1</v>
      </c>
      <c r="O89" s="119">
        <f>IF(N89&lt;=1,'FY 2025 IFC Table 1A-1E'!$C$5,'FY 2025 IFC Table 1A-1E'!$B$5)</f>
        <v>2517.27</v>
      </c>
      <c r="P89" s="122">
        <f t="shared" si="13"/>
        <v>6624.3899999999994</v>
      </c>
      <c r="Q89" s="150">
        <f>'FY 2025 IFC Table 1A-1E'!$B$33</f>
        <v>512.14</v>
      </c>
      <c r="R89" s="120">
        <f>IFERROR(VLOOKUP(C89,'FY25 IMPACT FILE IFC-OTHER TBLS'!$A$3:$BJ$52,48,FALSE),1)</f>
        <v>1</v>
      </c>
      <c r="S89" s="119">
        <f t="shared" si="14"/>
        <v>512.14</v>
      </c>
      <c r="T89" s="121">
        <f t="shared" si="15"/>
        <v>7136.53</v>
      </c>
      <c r="U89" s="367">
        <f>IFERROR(VLOOKUP($C89,'GME Add-On Posting'!$A$8:$Q$30,17,FALSE),0)</f>
        <v>0</v>
      </c>
      <c r="V89" s="125">
        <f>IFERROR(VLOOKUP(C89,'FY25 IMPACT FILE IFC-OTHER TBLS'!$A$3:$BJ$55,23,FALSE),0)</f>
        <v>0</v>
      </c>
      <c r="W89" s="125">
        <f>IFERROR(VLOOKUP(C89,'FY25 IMPACT FILE IFC-OTHER TBLS'!$A$3:$BJ$55,24,FALSE),0)</f>
        <v>0</v>
      </c>
      <c r="X89" s="119">
        <f t="shared" si="16"/>
        <v>0</v>
      </c>
      <c r="Y89" s="119">
        <f t="shared" si="17"/>
        <v>0</v>
      </c>
      <c r="Z89" s="126">
        <f t="shared" si="21"/>
        <v>0</v>
      </c>
      <c r="AA89" s="151" t="s">
        <v>377</v>
      </c>
      <c r="AB89" s="127">
        <f t="shared" si="18"/>
        <v>0</v>
      </c>
      <c r="AC89" s="124" t="s">
        <v>377</v>
      </c>
      <c r="AD89" s="127" t="s">
        <v>377</v>
      </c>
      <c r="AE89" s="10" t="s">
        <v>377</v>
      </c>
      <c r="AF89" s="130">
        <f t="shared" si="19"/>
        <v>0</v>
      </c>
      <c r="AG89" s="129">
        <f t="shared" si="20"/>
        <v>0</v>
      </c>
    </row>
    <row r="90" spans="1:33" s="3" customFormat="1" x14ac:dyDescent="0.25">
      <c r="A90" s="24"/>
      <c r="B90" s="25"/>
      <c r="C90" s="26"/>
      <c r="D90" s="25"/>
      <c r="E90" s="189"/>
      <c r="F90" s="19"/>
      <c r="G90" s="19"/>
      <c r="I90" s="29" t="s">
        <v>442</v>
      </c>
      <c r="J90" s="27">
        <f>COUNT(J5:J89)</f>
        <v>84</v>
      </c>
      <c r="K90" s="84"/>
      <c r="L90" s="28"/>
      <c r="M90" s="25"/>
      <c r="N90" s="25"/>
      <c r="O90" s="25"/>
      <c r="P90" s="25"/>
      <c r="Q90" s="25"/>
      <c r="R90" s="25"/>
      <c r="S90" s="25"/>
      <c r="T90" s="25"/>
      <c r="U90" s="32"/>
      <c r="V90" s="25"/>
      <c r="W90" s="25"/>
      <c r="X90" s="25"/>
      <c r="Y90" s="25"/>
      <c r="Z90" s="55"/>
      <c r="AA90" s="34"/>
      <c r="AB90" s="35"/>
      <c r="AC90" s="25"/>
      <c r="AD90" s="35"/>
      <c r="AE90" s="25"/>
      <c r="AF90" s="36"/>
    </row>
    <row r="91" spans="1:33" s="3" customFormat="1" x14ac:dyDescent="0.25">
      <c r="A91" s="7"/>
      <c r="B91" s="8"/>
      <c r="C91" s="9"/>
      <c r="D91" s="8"/>
      <c r="E91" s="189"/>
      <c r="F91" s="19"/>
      <c r="G91" s="19"/>
      <c r="I91" s="29" t="s">
        <v>443</v>
      </c>
      <c r="J91" s="27">
        <v>84</v>
      </c>
      <c r="K91" s="84"/>
      <c r="L91" s="30"/>
      <c r="M91" s="30"/>
      <c r="N91" s="30"/>
      <c r="O91" s="30"/>
      <c r="P91" s="30"/>
      <c r="Q91" s="30"/>
      <c r="R91" s="30"/>
      <c r="S91" s="30"/>
      <c r="T91" s="30"/>
      <c r="U91" s="33"/>
      <c r="V91" s="30"/>
      <c r="W91" s="30"/>
      <c r="X91" s="30"/>
      <c r="Y91" s="30"/>
      <c r="Z91" s="95"/>
      <c r="AA91" s="34"/>
      <c r="AB91" s="35"/>
      <c r="AC91" s="19"/>
      <c r="AD91" s="35"/>
      <c r="AE91" s="19"/>
      <c r="AF91" s="37"/>
    </row>
    <row r="92" spans="1:33" s="3" customFormat="1" x14ac:dyDescent="0.25">
      <c r="A92" s="7"/>
      <c r="B92" s="8"/>
      <c r="C92" s="9"/>
      <c r="D92" s="8"/>
      <c r="E92" s="189"/>
      <c r="F92" s="19"/>
      <c r="G92" s="19"/>
      <c r="I92" s="31" t="s">
        <v>444</v>
      </c>
      <c r="J92" s="19">
        <f>J90-J91</f>
        <v>0</v>
      </c>
      <c r="K92" s="84"/>
      <c r="L92" s="30"/>
      <c r="M92" s="30"/>
      <c r="N92" s="30"/>
      <c r="O92" s="30"/>
      <c r="P92" s="30"/>
      <c r="Q92" s="30"/>
      <c r="R92" s="30"/>
      <c r="S92" s="30"/>
      <c r="T92" s="30"/>
      <c r="U92" s="33"/>
      <c r="V92" s="30"/>
      <c r="W92" s="30"/>
      <c r="X92" s="30"/>
      <c r="Y92" s="30"/>
      <c r="Z92" s="55"/>
      <c r="AA92" s="19"/>
      <c r="AB92" s="19"/>
      <c r="AC92" s="19"/>
      <c r="AD92" s="19"/>
      <c r="AE92" s="19"/>
      <c r="AF92" s="37"/>
    </row>
    <row r="93" spans="1:33" s="3" customFormat="1" x14ac:dyDescent="0.25">
      <c r="A93" s="7"/>
      <c r="B93" s="8"/>
      <c r="C93" s="9"/>
      <c r="D93" s="8"/>
      <c r="E93" s="189"/>
      <c r="F93" s="19"/>
      <c r="G93" s="19"/>
      <c r="I93" s="31" t="s">
        <v>445</v>
      </c>
      <c r="J93" s="98" t="str">
        <f>IF(J92=0,"confirmed","FIX")</f>
        <v>confirmed</v>
      </c>
      <c r="K93" s="84"/>
      <c r="L93" s="30"/>
      <c r="M93" s="30"/>
      <c r="N93" s="30"/>
      <c r="O93" s="30"/>
      <c r="P93" s="30"/>
      <c r="Q93" s="30"/>
      <c r="R93" s="30"/>
      <c r="S93" s="30"/>
      <c r="T93" s="30"/>
      <c r="U93" s="33"/>
      <c r="V93" s="30"/>
      <c r="W93" s="30"/>
      <c r="X93" s="30"/>
      <c r="Y93" s="89"/>
      <c r="Z93" s="90"/>
      <c r="AB93" s="19"/>
      <c r="AC93" s="19"/>
      <c r="AD93" s="19"/>
      <c r="AE93" s="19"/>
      <c r="AF93" s="37"/>
    </row>
    <row r="94" spans="1:33" s="3" customFormat="1" x14ac:dyDescent="0.25">
      <c r="A94" s="7"/>
      <c r="B94" s="8"/>
      <c r="C94" s="9"/>
      <c r="D94" s="8"/>
      <c r="E94" s="194"/>
      <c r="F94" s="19"/>
      <c r="G94" s="19"/>
      <c r="J94" s="19"/>
      <c r="K94" s="84"/>
      <c r="L94" s="30"/>
      <c r="M94" s="30"/>
      <c r="N94" s="30"/>
      <c r="O94" s="30"/>
      <c r="P94" s="30"/>
      <c r="Q94" s="30"/>
      <c r="R94" s="30"/>
      <c r="S94" s="30"/>
      <c r="T94" s="30"/>
      <c r="U94" s="33"/>
      <c r="V94" s="30"/>
      <c r="W94" s="30"/>
      <c r="X94" s="30"/>
      <c r="Y94" s="43"/>
      <c r="Z94" s="91"/>
      <c r="AB94" s="19"/>
      <c r="AC94" s="19"/>
      <c r="AD94" s="19"/>
      <c r="AE94" s="19"/>
      <c r="AF94" s="37"/>
    </row>
    <row r="95" spans="1:33" s="3" customFormat="1" x14ac:dyDescent="0.25">
      <c r="A95" s="7"/>
      <c r="B95" s="8"/>
      <c r="C95" s="9"/>
      <c r="D95" s="8"/>
      <c r="E95" s="194"/>
      <c r="F95" s="19"/>
      <c r="G95" s="19"/>
      <c r="J95" s="8"/>
      <c r="K95" s="84"/>
      <c r="L95" s="30"/>
      <c r="M95" s="30"/>
      <c r="N95" s="30"/>
      <c r="O95" s="30"/>
      <c r="P95" s="30"/>
      <c r="Q95" s="30"/>
      <c r="R95" s="30"/>
      <c r="S95" s="30"/>
      <c r="T95" s="30"/>
      <c r="U95" s="33"/>
      <c r="V95" s="30"/>
      <c r="W95" s="30"/>
      <c r="X95" s="30"/>
      <c r="Y95" s="43"/>
      <c r="Z95" s="92"/>
      <c r="AB95" s="19"/>
      <c r="AC95" s="19"/>
      <c r="AD95" s="19"/>
      <c r="AE95" s="19"/>
      <c r="AF95" s="37"/>
    </row>
    <row r="96" spans="1:33" s="3" customFormat="1" x14ac:dyDescent="0.25">
      <c r="A96" s="7"/>
      <c r="B96" s="8"/>
      <c r="C96" s="9"/>
      <c r="D96" s="8"/>
      <c r="E96" s="194"/>
      <c r="F96" s="19"/>
      <c r="G96" s="19"/>
      <c r="J96" s="8"/>
      <c r="K96" s="84"/>
      <c r="L96" s="30"/>
      <c r="M96" s="30"/>
      <c r="N96" s="30"/>
      <c r="O96" s="30"/>
      <c r="P96" s="30"/>
      <c r="Q96" s="30"/>
      <c r="R96" s="30"/>
      <c r="S96" s="30"/>
      <c r="T96" s="30"/>
      <c r="U96" s="33"/>
      <c r="V96" s="30"/>
      <c r="W96" s="30"/>
      <c r="X96" s="30"/>
      <c r="Y96" s="43"/>
      <c r="Z96" s="92"/>
      <c r="AB96" s="19"/>
      <c r="AC96" s="19"/>
      <c r="AD96" s="19"/>
      <c r="AE96" s="19"/>
      <c r="AF96" s="37"/>
    </row>
    <row r="97" spans="1:32" s="3" customFormat="1" x14ac:dyDescent="0.25">
      <c r="A97" s="7"/>
      <c r="B97" s="8"/>
      <c r="C97" s="9"/>
      <c r="D97" s="8"/>
      <c r="E97" s="194"/>
      <c r="F97" s="19"/>
      <c r="G97" s="19"/>
      <c r="J97" s="8"/>
      <c r="K97" s="84"/>
      <c r="L97" s="30"/>
      <c r="M97" s="30"/>
      <c r="N97" s="30"/>
      <c r="O97" s="30"/>
      <c r="P97" s="30"/>
      <c r="Q97" s="30"/>
      <c r="R97" s="30"/>
      <c r="S97" s="30"/>
      <c r="T97" s="30"/>
      <c r="U97" s="33"/>
      <c r="V97" s="30"/>
      <c r="W97" s="30"/>
      <c r="X97" s="30"/>
      <c r="Y97" s="43"/>
      <c r="Z97" s="93"/>
      <c r="AB97" s="19"/>
      <c r="AC97" s="19"/>
      <c r="AD97" s="19"/>
      <c r="AE97" s="19"/>
      <c r="AF97" s="37"/>
    </row>
    <row r="98" spans="1:32" s="3" customFormat="1" x14ac:dyDescent="0.25">
      <c r="A98" s="7"/>
      <c r="B98" s="8"/>
      <c r="C98" s="9"/>
      <c r="D98" s="8"/>
      <c r="E98" s="194"/>
      <c r="F98" s="19"/>
      <c r="G98" s="19"/>
      <c r="J98" s="8"/>
      <c r="K98" s="84"/>
      <c r="L98" s="30"/>
      <c r="M98" s="30"/>
      <c r="N98" s="30"/>
      <c r="O98" s="30"/>
      <c r="P98" s="30"/>
      <c r="Q98" s="30"/>
      <c r="R98" s="30"/>
      <c r="S98" s="30"/>
      <c r="T98" s="30"/>
      <c r="U98" s="33"/>
      <c r="V98" s="30"/>
      <c r="W98" s="30"/>
      <c r="X98" s="30"/>
      <c r="Y98" s="43"/>
      <c r="Z98" s="93"/>
      <c r="AB98" s="19"/>
      <c r="AC98" s="19"/>
      <c r="AD98" s="19"/>
      <c r="AE98" s="19"/>
      <c r="AF98" s="37"/>
    </row>
    <row r="99" spans="1:32" s="3" customFormat="1" x14ac:dyDescent="0.25">
      <c r="A99" s="7"/>
      <c r="B99" s="8"/>
      <c r="C99" s="9"/>
      <c r="D99" s="8"/>
      <c r="E99" s="194"/>
      <c r="F99" s="19"/>
      <c r="G99" s="19"/>
      <c r="J99" s="8"/>
      <c r="K99" s="84"/>
      <c r="L99" s="30"/>
      <c r="M99" s="30"/>
      <c r="N99" s="30"/>
      <c r="O99" s="30"/>
      <c r="P99" s="30"/>
      <c r="Q99" s="30"/>
      <c r="R99" s="30"/>
      <c r="S99" s="30"/>
      <c r="T99" s="30"/>
      <c r="U99" s="33"/>
      <c r="V99" s="30"/>
      <c r="W99" s="30"/>
      <c r="X99" s="30"/>
      <c r="Y99" s="43"/>
      <c r="Z99" s="44"/>
      <c r="AB99" s="19"/>
      <c r="AC99" s="19"/>
      <c r="AD99" s="19"/>
      <c r="AE99" s="19"/>
      <c r="AF99" s="37"/>
    </row>
    <row r="100" spans="1:32" s="3" customFormat="1" x14ac:dyDescent="0.25">
      <c r="A100" s="7"/>
      <c r="B100" s="8"/>
      <c r="C100" s="9"/>
      <c r="D100" s="8"/>
      <c r="E100" s="194"/>
      <c r="F100" s="19"/>
      <c r="G100" s="19"/>
      <c r="J100" s="8"/>
      <c r="K100" s="84"/>
      <c r="L100" s="30"/>
      <c r="M100" s="30"/>
      <c r="N100" s="30"/>
      <c r="O100" s="30"/>
      <c r="P100" s="30"/>
      <c r="Q100" s="30"/>
      <c r="R100" s="30"/>
      <c r="S100" s="30"/>
      <c r="T100" s="30"/>
      <c r="U100" s="33"/>
      <c r="V100" s="30"/>
      <c r="W100" s="30"/>
      <c r="X100" s="30"/>
      <c r="Y100" s="43"/>
      <c r="Z100" s="44"/>
      <c r="AB100" s="19"/>
      <c r="AC100" s="19"/>
      <c r="AD100" s="19"/>
      <c r="AE100" s="19"/>
      <c r="AF100" s="37"/>
    </row>
    <row r="101" spans="1:32" s="3" customFormat="1" x14ac:dyDescent="0.25">
      <c r="A101" s="7"/>
      <c r="B101" s="8"/>
      <c r="C101" s="9"/>
      <c r="D101" s="8"/>
      <c r="E101" s="194"/>
      <c r="F101" s="19"/>
      <c r="G101" s="19"/>
      <c r="J101" s="8"/>
      <c r="K101" s="84"/>
      <c r="L101" s="30"/>
      <c r="M101" s="30"/>
      <c r="N101" s="30"/>
      <c r="O101" s="30"/>
      <c r="P101" s="30"/>
      <c r="Q101" s="30"/>
      <c r="R101" s="30"/>
      <c r="S101" s="30"/>
      <c r="T101" s="30"/>
      <c r="U101" s="33"/>
      <c r="V101" s="30"/>
      <c r="W101" s="30"/>
      <c r="X101" s="30"/>
      <c r="Y101" s="43"/>
      <c r="Z101" s="94"/>
      <c r="AB101" s="19"/>
      <c r="AC101" s="19"/>
      <c r="AD101" s="19"/>
      <c r="AE101" s="19"/>
      <c r="AF101" s="37"/>
    </row>
    <row r="102" spans="1:32" s="3" customFormat="1" x14ac:dyDescent="0.25">
      <c r="A102" s="7"/>
      <c r="B102" s="8"/>
      <c r="C102" s="9"/>
      <c r="D102" s="8"/>
      <c r="E102" s="194"/>
      <c r="F102" s="19"/>
      <c r="G102" s="19"/>
      <c r="J102" s="8"/>
      <c r="K102" s="84"/>
      <c r="L102" s="30"/>
      <c r="M102" s="30"/>
      <c r="N102" s="30"/>
      <c r="O102" s="30"/>
      <c r="P102" s="30"/>
      <c r="Q102" s="30"/>
      <c r="R102" s="30"/>
      <c r="S102" s="30"/>
      <c r="T102" s="30"/>
      <c r="U102" s="33"/>
      <c r="V102" s="30"/>
      <c r="W102" s="30"/>
      <c r="X102" s="30"/>
      <c r="Y102" s="43"/>
      <c r="Z102" s="94"/>
      <c r="AB102" s="19"/>
      <c r="AC102" s="19"/>
      <c r="AD102" s="19"/>
      <c r="AE102" s="19"/>
      <c r="AF102" s="37"/>
    </row>
    <row r="103" spans="1:32" s="3" customFormat="1" x14ac:dyDescent="0.25">
      <c r="A103" s="7"/>
      <c r="B103" s="8"/>
      <c r="C103" s="9"/>
      <c r="D103" s="8"/>
      <c r="E103" s="194"/>
      <c r="F103" s="19"/>
      <c r="G103" s="19"/>
      <c r="J103" s="8"/>
      <c r="K103" s="30"/>
      <c r="L103" s="30"/>
      <c r="M103" s="30"/>
      <c r="N103" s="30"/>
      <c r="O103" s="30"/>
      <c r="P103" s="30"/>
      <c r="Q103" s="30"/>
      <c r="R103" s="30"/>
      <c r="S103" s="30"/>
      <c r="T103" s="30"/>
      <c r="U103" s="33"/>
      <c r="V103" s="30"/>
      <c r="W103" s="30"/>
      <c r="X103" s="30"/>
      <c r="Y103" s="30"/>
      <c r="AA103" s="19"/>
      <c r="AB103" s="19"/>
      <c r="AC103" s="19"/>
      <c r="AD103" s="19"/>
      <c r="AE103" s="19"/>
      <c r="AF103" s="37"/>
    </row>
    <row r="104" spans="1:32" s="3" customFormat="1" x14ac:dyDescent="0.25">
      <c r="A104" s="7"/>
      <c r="B104" s="8"/>
      <c r="C104" s="9"/>
      <c r="D104" s="8"/>
      <c r="E104" s="194"/>
      <c r="F104" s="19"/>
      <c r="G104" s="19"/>
      <c r="J104" s="8"/>
      <c r="K104" s="30"/>
      <c r="L104" s="30"/>
      <c r="M104" s="30"/>
      <c r="N104" s="30"/>
      <c r="O104" s="30"/>
      <c r="P104" s="30"/>
      <c r="Q104" s="30"/>
      <c r="R104" s="30"/>
      <c r="S104" s="30"/>
      <c r="T104" s="30"/>
      <c r="U104" s="33"/>
      <c r="V104" s="30"/>
      <c r="W104" s="30"/>
      <c r="X104" s="30"/>
      <c r="Y104" s="30"/>
      <c r="AA104" s="19"/>
      <c r="AB104" s="19"/>
      <c r="AC104" s="19"/>
      <c r="AD104" s="19"/>
      <c r="AE104" s="19"/>
      <c r="AF104" s="37"/>
    </row>
    <row r="105" spans="1:32" s="3" customFormat="1" x14ac:dyDescent="0.25">
      <c r="A105" s="7"/>
      <c r="B105" s="8"/>
      <c r="C105" s="9"/>
      <c r="D105" s="8"/>
      <c r="E105" s="194"/>
      <c r="F105" s="19"/>
      <c r="G105" s="19"/>
      <c r="J105" s="8"/>
      <c r="K105" s="30"/>
      <c r="L105" s="30"/>
      <c r="M105" s="30"/>
      <c r="N105" s="30"/>
      <c r="O105" s="30"/>
      <c r="P105" s="30"/>
      <c r="Q105" s="30"/>
      <c r="R105" s="30"/>
      <c r="S105" s="30"/>
      <c r="T105" s="30"/>
      <c r="U105" s="33"/>
      <c r="W105" s="30"/>
      <c r="X105" s="30"/>
      <c r="Y105" s="30"/>
      <c r="AA105" s="19"/>
      <c r="AB105" s="19"/>
      <c r="AC105" s="19"/>
      <c r="AD105" s="19"/>
      <c r="AE105" s="19"/>
      <c r="AF105" s="37"/>
    </row>
    <row r="106" spans="1:32" s="3" customFormat="1" x14ac:dyDescent="0.25">
      <c r="A106" s="7"/>
      <c r="B106" s="8"/>
      <c r="C106" s="9"/>
      <c r="D106" s="8"/>
      <c r="E106" s="194"/>
      <c r="F106" s="19"/>
      <c r="G106" s="19"/>
      <c r="J106" s="8"/>
      <c r="K106" s="30"/>
      <c r="L106" s="30"/>
      <c r="M106" s="30"/>
      <c r="N106" s="30"/>
      <c r="O106" s="30"/>
      <c r="P106" s="30"/>
      <c r="Q106" s="30"/>
      <c r="R106" s="30"/>
      <c r="S106" s="30"/>
      <c r="T106" s="30"/>
      <c r="U106" s="33"/>
      <c r="X106" s="30"/>
      <c r="Y106" s="30"/>
      <c r="AA106" s="19"/>
      <c r="AB106" s="19"/>
      <c r="AC106" s="19"/>
      <c r="AD106" s="19"/>
      <c r="AE106" s="19"/>
      <c r="AF106" s="37"/>
    </row>
    <row r="107" spans="1:32" s="3" customFormat="1" x14ac:dyDescent="0.25">
      <c r="A107" s="7"/>
      <c r="B107" s="8"/>
      <c r="C107" s="9"/>
      <c r="D107" s="8"/>
      <c r="E107" s="194"/>
      <c r="F107" s="19"/>
      <c r="G107" s="19"/>
      <c r="J107" s="8"/>
      <c r="K107" s="30"/>
      <c r="L107" s="30"/>
      <c r="M107" s="30"/>
      <c r="N107" s="30"/>
      <c r="O107" s="30"/>
      <c r="P107" s="30"/>
      <c r="Q107" s="30"/>
      <c r="R107" s="30"/>
      <c r="S107" s="30"/>
      <c r="T107" s="30"/>
      <c r="U107" s="33"/>
      <c r="X107" s="30"/>
      <c r="Y107" s="30"/>
      <c r="AA107" s="19"/>
      <c r="AB107" s="19"/>
      <c r="AC107" s="19"/>
      <c r="AD107" s="19"/>
      <c r="AE107" s="19"/>
      <c r="AF107" s="37"/>
    </row>
    <row r="108" spans="1:32" s="3" customFormat="1" x14ac:dyDescent="0.25">
      <c r="A108" s="7"/>
      <c r="B108" s="8"/>
      <c r="C108" s="9"/>
      <c r="D108" s="8"/>
      <c r="E108" s="194"/>
      <c r="F108" s="19"/>
      <c r="G108" s="19"/>
      <c r="J108" s="8"/>
      <c r="K108" s="30"/>
      <c r="L108" s="30"/>
      <c r="M108" s="30"/>
      <c r="N108" s="30"/>
      <c r="O108" s="30"/>
      <c r="P108" s="30"/>
      <c r="Q108" s="30"/>
      <c r="R108" s="30"/>
      <c r="S108" s="30"/>
      <c r="T108" s="30"/>
      <c r="U108" s="33"/>
      <c r="V108" s="30"/>
      <c r="W108" s="30"/>
      <c r="X108" s="30"/>
      <c r="Y108" s="30"/>
      <c r="AA108" s="19"/>
      <c r="AB108" s="19"/>
      <c r="AC108" s="19"/>
      <c r="AD108" s="19"/>
      <c r="AE108" s="19"/>
      <c r="AF108" s="37"/>
    </row>
    <row r="109" spans="1:32" s="3" customFormat="1" x14ac:dyDescent="0.25">
      <c r="A109" s="7"/>
      <c r="B109" s="8"/>
      <c r="C109" s="9"/>
      <c r="D109" s="8"/>
      <c r="E109" s="194"/>
      <c r="F109" s="19"/>
      <c r="G109" s="19"/>
      <c r="J109" s="8"/>
      <c r="K109" s="30"/>
      <c r="L109" s="30"/>
      <c r="M109" s="30"/>
      <c r="N109" s="30"/>
      <c r="O109" s="30"/>
      <c r="P109" s="30"/>
      <c r="Q109" s="30"/>
      <c r="R109" s="30"/>
      <c r="S109" s="30"/>
      <c r="T109" s="30"/>
      <c r="U109" s="33"/>
      <c r="V109" s="30"/>
      <c r="W109" s="30"/>
      <c r="X109" s="30"/>
      <c r="Y109" s="30"/>
      <c r="AA109" s="19"/>
      <c r="AB109" s="19"/>
      <c r="AC109" s="19"/>
      <c r="AD109" s="19"/>
      <c r="AE109" s="19"/>
      <c r="AF109" s="37"/>
    </row>
    <row r="110" spans="1:32" s="3" customFormat="1" x14ac:dyDescent="0.25">
      <c r="A110" s="7"/>
      <c r="B110" s="8"/>
      <c r="C110" s="9"/>
      <c r="D110" s="8"/>
      <c r="E110" s="194"/>
      <c r="F110" s="19"/>
      <c r="G110" s="19"/>
      <c r="J110" s="8"/>
      <c r="K110" s="30"/>
      <c r="L110" s="30"/>
      <c r="M110" s="30"/>
      <c r="N110" s="30"/>
      <c r="O110" s="30"/>
      <c r="P110" s="30"/>
      <c r="Q110" s="30"/>
      <c r="R110" s="30"/>
      <c r="S110" s="30"/>
      <c r="T110" s="30"/>
      <c r="U110" s="33"/>
      <c r="V110" s="30"/>
      <c r="W110" s="30"/>
      <c r="X110" s="30"/>
      <c r="Y110" s="30"/>
      <c r="AA110" s="19"/>
      <c r="AB110" s="19"/>
      <c r="AC110" s="19"/>
      <c r="AD110" s="19"/>
      <c r="AE110" s="19"/>
      <c r="AF110" s="37"/>
    </row>
    <row r="111" spans="1:32" s="3" customFormat="1" x14ac:dyDescent="0.25">
      <c r="A111" s="7"/>
      <c r="B111" s="8"/>
      <c r="C111" s="9"/>
      <c r="D111" s="8"/>
      <c r="E111" s="194"/>
      <c r="F111" s="19"/>
      <c r="G111" s="19"/>
      <c r="J111" s="8"/>
      <c r="K111" s="30"/>
      <c r="L111" s="30"/>
      <c r="M111" s="30"/>
      <c r="N111" s="30"/>
      <c r="O111" s="30"/>
      <c r="P111" s="30"/>
      <c r="Q111" s="30"/>
      <c r="R111" s="30"/>
      <c r="S111" s="30"/>
      <c r="T111" s="88"/>
      <c r="U111" s="33"/>
      <c r="V111" s="30"/>
      <c r="W111" s="30"/>
      <c r="X111" s="30"/>
      <c r="Y111" s="30"/>
      <c r="AA111" s="19"/>
      <c r="AB111" s="19"/>
      <c r="AC111" s="19"/>
      <c r="AD111" s="19"/>
      <c r="AE111" s="19"/>
      <c r="AF111" s="37"/>
    </row>
    <row r="112" spans="1:32" s="3" customFormat="1" x14ac:dyDescent="0.25">
      <c r="A112" s="7"/>
      <c r="B112" s="8"/>
      <c r="C112" s="9"/>
      <c r="D112" s="8"/>
      <c r="E112" s="194"/>
      <c r="F112" s="19"/>
      <c r="G112" s="19"/>
      <c r="J112" s="8"/>
      <c r="K112" s="30"/>
      <c r="L112" s="30"/>
      <c r="M112" s="30"/>
      <c r="N112" s="30"/>
      <c r="O112" s="30"/>
      <c r="P112" s="30"/>
      <c r="Q112" s="30"/>
      <c r="R112" s="30"/>
      <c r="S112" s="30"/>
      <c r="T112" s="30"/>
      <c r="U112" s="33"/>
      <c r="V112" s="30"/>
      <c r="W112" s="30"/>
      <c r="X112" s="30"/>
      <c r="Y112" s="30"/>
      <c r="AA112" s="19"/>
      <c r="AB112" s="19"/>
      <c r="AC112" s="19"/>
      <c r="AD112" s="19"/>
      <c r="AE112" s="19"/>
      <c r="AF112" s="37"/>
    </row>
    <row r="113" spans="1:32" s="3" customFormat="1" x14ac:dyDescent="0.25">
      <c r="A113" s="7"/>
      <c r="B113" s="8"/>
      <c r="C113" s="9"/>
      <c r="D113" s="8"/>
      <c r="E113" s="194"/>
      <c r="F113" s="19"/>
      <c r="G113" s="19"/>
      <c r="J113" s="8"/>
      <c r="K113" s="30"/>
      <c r="L113" s="30"/>
      <c r="M113" s="30"/>
      <c r="N113" s="30"/>
      <c r="O113" s="30"/>
      <c r="P113" s="30"/>
      <c r="Q113" s="30"/>
      <c r="R113" s="30"/>
      <c r="S113" s="30"/>
      <c r="T113" s="30"/>
      <c r="U113" s="33"/>
      <c r="V113" s="30"/>
      <c r="W113" s="30"/>
      <c r="X113" s="30"/>
      <c r="Y113" s="30"/>
      <c r="AA113" s="19"/>
      <c r="AB113" s="19"/>
      <c r="AC113" s="19"/>
      <c r="AD113" s="19"/>
      <c r="AE113" s="19"/>
      <c r="AF113" s="37"/>
    </row>
    <row r="114" spans="1:32" s="3" customFormat="1" x14ac:dyDescent="0.25">
      <c r="A114" s="7"/>
      <c r="B114" s="8"/>
      <c r="C114" s="9"/>
      <c r="D114" s="8"/>
      <c r="E114" s="194"/>
      <c r="F114" s="19"/>
      <c r="G114" s="19"/>
      <c r="J114" s="8"/>
      <c r="K114" s="30"/>
      <c r="L114" s="30"/>
      <c r="M114" s="30"/>
      <c r="N114" s="30"/>
      <c r="O114" s="30"/>
      <c r="P114" s="30"/>
      <c r="Q114" s="30"/>
      <c r="R114" s="30"/>
      <c r="S114" s="30"/>
      <c r="T114" s="30"/>
      <c r="U114" s="33"/>
      <c r="V114" s="30"/>
      <c r="W114" s="30"/>
      <c r="X114" s="30"/>
      <c r="Y114" s="30"/>
      <c r="AA114" s="19"/>
      <c r="AB114" s="19"/>
      <c r="AC114" s="19"/>
      <c r="AD114" s="19"/>
      <c r="AE114" s="19"/>
      <c r="AF114" s="37"/>
    </row>
    <row r="115" spans="1:32" s="3" customFormat="1" x14ac:dyDescent="0.25">
      <c r="A115" s="7"/>
      <c r="B115" s="8"/>
      <c r="C115" s="9"/>
      <c r="D115" s="8"/>
      <c r="E115" s="194"/>
      <c r="F115" s="19"/>
      <c r="G115" s="19"/>
      <c r="J115" s="8"/>
      <c r="K115" s="30"/>
      <c r="L115" s="30"/>
      <c r="M115" s="30"/>
      <c r="N115" s="30"/>
      <c r="O115" s="30"/>
      <c r="P115" s="30"/>
      <c r="Q115" s="30"/>
      <c r="R115" s="30"/>
      <c r="S115" s="30"/>
      <c r="T115" s="30"/>
      <c r="U115" s="33"/>
      <c r="V115" s="30"/>
      <c r="W115" s="30"/>
      <c r="X115" s="30"/>
      <c r="Y115" s="30"/>
      <c r="AA115" s="19"/>
      <c r="AB115" s="19"/>
      <c r="AC115" s="19"/>
      <c r="AD115" s="19"/>
      <c r="AE115" s="19"/>
      <c r="AF115" s="37"/>
    </row>
    <row r="116" spans="1:32" s="3" customFormat="1" x14ac:dyDescent="0.25">
      <c r="A116" s="7"/>
      <c r="B116" s="8"/>
      <c r="C116" s="9"/>
      <c r="D116" s="8"/>
      <c r="E116" s="194"/>
      <c r="F116" s="19"/>
      <c r="G116" s="19"/>
      <c r="J116" s="8"/>
      <c r="K116" s="30"/>
      <c r="L116" s="30"/>
      <c r="M116" s="30"/>
      <c r="N116" s="30"/>
      <c r="O116" s="30"/>
      <c r="P116" s="30"/>
      <c r="Q116" s="30"/>
      <c r="R116" s="30"/>
      <c r="S116" s="30"/>
      <c r="T116" s="30"/>
      <c r="U116" s="33"/>
      <c r="V116" s="30"/>
      <c r="W116" s="30"/>
      <c r="X116" s="30"/>
      <c r="Y116" s="30"/>
      <c r="AA116" s="19"/>
      <c r="AB116" s="19"/>
      <c r="AC116" s="19"/>
      <c r="AD116" s="19"/>
      <c r="AE116" s="19"/>
      <c r="AF116" s="37"/>
    </row>
    <row r="117" spans="1:32" s="3" customFormat="1" x14ac:dyDescent="0.25">
      <c r="A117" s="7"/>
      <c r="B117" s="8"/>
      <c r="C117" s="9"/>
      <c r="D117" s="8"/>
      <c r="E117" s="194"/>
      <c r="F117" s="19"/>
      <c r="G117" s="19"/>
      <c r="J117" s="8"/>
      <c r="K117" s="30"/>
      <c r="L117" s="30"/>
      <c r="M117" s="30"/>
      <c r="N117" s="30"/>
      <c r="O117" s="30"/>
      <c r="P117" s="30"/>
      <c r="Q117" s="30"/>
      <c r="R117" s="30"/>
      <c r="S117" s="30"/>
      <c r="T117" s="88"/>
      <c r="U117" s="33"/>
      <c r="V117" s="30"/>
      <c r="W117" s="30"/>
      <c r="X117" s="30"/>
      <c r="Y117" s="30"/>
      <c r="AA117" s="19"/>
      <c r="AB117" s="19"/>
      <c r="AC117" s="19"/>
      <c r="AD117" s="19"/>
      <c r="AE117" s="19"/>
      <c r="AF117" s="37"/>
    </row>
    <row r="118" spans="1:32" s="3" customFormat="1" x14ac:dyDescent="0.25">
      <c r="A118" s="7"/>
      <c r="B118" s="8"/>
      <c r="C118" s="9"/>
      <c r="D118" s="8"/>
      <c r="E118" s="194"/>
      <c r="F118" s="19"/>
      <c r="G118" s="19"/>
      <c r="J118" s="8"/>
      <c r="K118" s="30"/>
      <c r="L118" s="30"/>
      <c r="M118" s="30"/>
      <c r="N118" s="30"/>
      <c r="O118" s="30"/>
      <c r="P118" s="30"/>
      <c r="Q118" s="30"/>
      <c r="R118" s="30"/>
      <c r="S118" s="30"/>
      <c r="T118" s="30"/>
      <c r="U118" s="33"/>
      <c r="V118" s="30"/>
      <c r="W118" s="30"/>
      <c r="X118" s="30"/>
      <c r="Y118" s="30"/>
      <c r="AA118" s="19"/>
      <c r="AB118" s="19"/>
      <c r="AC118" s="19"/>
      <c r="AD118" s="19"/>
      <c r="AE118" s="19"/>
      <c r="AF118" s="37"/>
    </row>
    <row r="119" spans="1:32" s="3" customFormat="1" x14ac:dyDescent="0.25">
      <c r="A119" s="7"/>
      <c r="B119" s="8"/>
      <c r="C119" s="9"/>
      <c r="D119" s="8"/>
      <c r="E119" s="194"/>
      <c r="F119" s="19"/>
      <c r="G119" s="19"/>
      <c r="J119" s="8"/>
      <c r="K119" s="30"/>
      <c r="L119" s="30"/>
      <c r="M119" s="30"/>
      <c r="N119" s="30"/>
      <c r="O119" s="30"/>
      <c r="P119" s="30"/>
      <c r="Q119" s="30"/>
      <c r="R119" s="30"/>
      <c r="S119" s="30"/>
      <c r="T119" s="30"/>
      <c r="U119" s="33"/>
      <c r="V119" s="30"/>
      <c r="W119" s="30"/>
      <c r="X119" s="30"/>
      <c r="Y119" s="30"/>
      <c r="AA119" s="19"/>
      <c r="AB119" s="19"/>
      <c r="AC119" s="19"/>
      <c r="AD119" s="19"/>
      <c r="AE119" s="19"/>
      <c r="AF119" s="37"/>
    </row>
    <row r="120" spans="1:32" s="3" customFormat="1" x14ac:dyDescent="0.25">
      <c r="A120" s="7"/>
      <c r="B120" s="8"/>
      <c r="C120" s="9"/>
      <c r="D120" s="8"/>
      <c r="E120" s="194"/>
      <c r="F120" s="19"/>
      <c r="G120" s="19"/>
      <c r="J120" s="8"/>
      <c r="K120" s="30"/>
      <c r="L120" s="30"/>
      <c r="M120" s="30"/>
      <c r="N120" s="30"/>
      <c r="O120" s="30"/>
      <c r="P120" s="30"/>
      <c r="Q120" s="30"/>
      <c r="R120" s="30"/>
      <c r="S120" s="30"/>
      <c r="T120" s="30"/>
      <c r="U120" s="33"/>
      <c r="V120" s="30"/>
      <c r="W120" s="30"/>
      <c r="X120" s="30"/>
      <c r="Y120" s="30"/>
      <c r="AA120" s="19"/>
      <c r="AB120" s="19"/>
      <c r="AC120" s="19"/>
      <c r="AD120" s="19"/>
      <c r="AE120" s="19"/>
      <c r="AF120" s="37"/>
    </row>
    <row r="121" spans="1:32" s="3" customFormat="1" x14ac:dyDescent="0.25">
      <c r="A121" s="7"/>
      <c r="B121" s="8"/>
      <c r="C121" s="9"/>
      <c r="D121" s="8"/>
      <c r="E121" s="194"/>
      <c r="F121" s="19"/>
      <c r="G121" s="19"/>
      <c r="J121" s="8"/>
      <c r="K121" s="30"/>
      <c r="L121" s="30"/>
      <c r="M121" s="30"/>
      <c r="N121" s="30"/>
      <c r="O121" s="30"/>
      <c r="P121" s="30"/>
      <c r="Q121" s="30"/>
      <c r="R121" s="30"/>
      <c r="S121" s="30"/>
      <c r="T121" s="30"/>
      <c r="U121" s="33"/>
      <c r="V121" s="30"/>
      <c r="W121" s="30"/>
      <c r="X121" s="30"/>
      <c r="Y121" s="30"/>
      <c r="AA121" s="19"/>
      <c r="AB121" s="19"/>
      <c r="AC121" s="19"/>
      <c r="AD121" s="19"/>
      <c r="AE121" s="19"/>
      <c r="AF121" s="37"/>
    </row>
    <row r="122" spans="1:32" s="3" customFormat="1" x14ac:dyDescent="0.25">
      <c r="A122" s="7"/>
      <c r="B122" s="8"/>
      <c r="C122" s="9"/>
      <c r="D122" s="8"/>
      <c r="E122" s="194"/>
      <c r="F122" s="19"/>
      <c r="G122" s="19"/>
      <c r="J122" s="8"/>
      <c r="K122" s="30"/>
      <c r="L122" s="30"/>
      <c r="M122" s="30"/>
      <c r="N122" s="30"/>
      <c r="O122" s="30"/>
      <c r="P122" s="30"/>
      <c r="Q122" s="30"/>
      <c r="R122" s="30"/>
      <c r="S122" s="30"/>
      <c r="T122" s="30"/>
      <c r="U122" s="33"/>
      <c r="V122" s="30"/>
      <c r="W122" s="30"/>
      <c r="X122" s="30"/>
      <c r="Y122" s="30"/>
      <c r="AA122" s="19"/>
      <c r="AB122" s="19"/>
      <c r="AC122" s="19"/>
      <c r="AD122" s="19"/>
      <c r="AE122" s="19"/>
      <c r="AF122" s="37"/>
    </row>
    <row r="123" spans="1:32" s="3" customFormat="1" x14ac:dyDescent="0.25">
      <c r="A123" s="7"/>
      <c r="B123" s="8"/>
      <c r="C123" s="9"/>
      <c r="D123" s="8"/>
      <c r="E123" s="194"/>
      <c r="F123" s="19"/>
      <c r="G123" s="19"/>
      <c r="J123" s="8"/>
      <c r="K123" s="30"/>
      <c r="L123" s="30"/>
      <c r="M123" s="30"/>
      <c r="N123" s="30"/>
      <c r="O123" s="30"/>
      <c r="P123" s="30"/>
      <c r="Q123" s="30"/>
      <c r="R123" s="30"/>
      <c r="S123" s="30"/>
      <c r="T123" s="30"/>
      <c r="U123" s="33"/>
      <c r="V123" s="30"/>
      <c r="W123" s="30"/>
      <c r="X123" s="30"/>
      <c r="Y123" s="30"/>
      <c r="AA123" s="19"/>
      <c r="AB123" s="19"/>
      <c r="AC123" s="19"/>
      <c r="AD123" s="19"/>
      <c r="AE123" s="19"/>
      <c r="AF123" s="37"/>
    </row>
    <row r="124" spans="1:32" s="3" customFormat="1" x14ac:dyDescent="0.25">
      <c r="A124" s="7"/>
      <c r="B124" s="8"/>
      <c r="C124" s="9"/>
      <c r="D124" s="8"/>
      <c r="E124" s="194"/>
      <c r="F124" s="19"/>
      <c r="G124" s="19"/>
      <c r="J124" s="8"/>
      <c r="K124" s="30"/>
      <c r="L124" s="30"/>
      <c r="M124" s="30"/>
      <c r="N124" s="30"/>
      <c r="O124" s="30"/>
      <c r="P124" s="30"/>
      <c r="Q124" s="30"/>
      <c r="R124" s="30"/>
      <c r="S124" s="30"/>
      <c r="T124" s="30"/>
      <c r="U124" s="33"/>
      <c r="V124" s="30"/>
      <c r="W124" s="30"/>
      <c r="X124" s="30"/>
      <c r="Y124" s="30"/>
      <c r="AA124" s="19"/>
      <c r="AB124" s="19"/>
      <c r="AC124" s="19"/>
      <c r="AD124" s="19"/>
      <c r="AE124" s="19"/>
      <c r="AF124" s="37"/>
    </row>
    <row r="125" spans="1:32" s="3" customFormat="1" x14ac:dyDescent="0.25">
      <c r="A125" s="7"/>
      <c r="B125" s="8"/>
      <c r="C125" s="9"/>
      <c r="D125" s="8"/>
      <c r="E125" s="194"/>
      <c r="F125" s="19"/>
      <c r="G125" s="19"/>
      <c r="J125" s="8"/>
      <c r="K125" s="30"/>
      <c r="L125" s="30"/>
      <c r="M125" s="30"/>
      <c r="N125" s="30"/>
      <c r="O125" s="30"/>
      <c r="P125" s="30"/>
      <c r="Q125" s="30"/>
      <c r="R125" s="30"/>
      <c r="S125" s="30"/>
      <c r="T125" s="30"/>
      <c r="U125" s="33"/>
      <c r="V125" s="30"/>
      <c r="W125" s="30"/>
      <c r="X125" s="30"/>
      <c r="Y125" s="30"/>
      <c r="AA125" s="19"/>
      <c r="AB125" s="19"/>
      <c r="AC125" s="19"/>
      <c r="AD125" s="19"/>
      <c r="AE125" s="19"/>
      <c r="AF125" s="37"/>
    </row>
    <row r="126" spans="1:32" s="3" customFormat="1" x14ac:dyDescent="0.25">
      <c r="A126" s="7"/>
      <c r="B126" s="8"/>
      <c r="C126" s="9"/>
      <c r="D126" s="8"/>
      <c r="E126" s="194"/>
      <c r="F126" s="19"/>
      <c r="G126" s="19"/>
      <c r="J126" s="8"/>
      <c r="K126" s="30"/>
      <c r="L126" s="30"/>
      <c r="M126" s="30"/>
      <c r="N126" s="30"/>
      <c r="O126" s="30"/>
      <c r="P126" s="30"/>
      <c r="Q126" s="30"/>
      <c r="R126" s="30"/>
      <c r="S126" s="30"/>
      <c r="T126" s="30"/>
      <c r="U126" s="33"/>
      <c r="V126" s="30"/>
      <c r="W126" s="30"/>
      <c r="X126" s="30"/>
      <c r="Y126" s="30"/>
      <c r="AA126" s="19"/>
      <c r="AB126" s="19"/>
      <c r="AC126" s="19"/>
      <c r="AD126" s="19"/>
      <c r="AE126" s="19"/>
      <c r="AF126" s="37"/>
    </row>
    <row r="127" spans="1:32" s="3" customFormat="1" x14ac:dyDescent="0.25">
      <c r="A127" s="7"/>
      <c r="B127" s="8"/>
      <c r="C127" s="9"/>
      <c r="D127" s="8"/>
      <c r="E127" s="194"/>
      <c r="F127" s="19"/>
      <c r="G127" s="19"/>
      <c r="J127" s="8"/>
      <c r="K127" s="30"/>
      <c r="L127" s="30"/>
      <c r="M127" s="30"/>
      <c r="N127" s="30"/>
      <c r="O127" s="30"/>
      <c r="P127" s="30"/>
      <c r="Q127" s="30"/>
      <c r="R127" s="30"/>
      <c r="S127" s="30"/>
      <c r="T127" s="30"/>
      <c r="U127" s="33"/>
      <c r="V127" s="30"/>
      <c r="W127" s="30"/>
      <c r="X127" s="30"/>
      <c r="Y127" s="30"/>
      <c r="AA127" s="19"/>
      <c r="AB127" s="19"/>
      <c r="AC127" s="19"/>
      <c r="AD127" s="19"/>
      <c r="AE127" s="19"/>
      <c r="AF127" s="37"/>
    </row>
    <row r="128" spans="1:32" s="3" customFormat="1" x14ac:dyDescent="0.25">
      <c r="A128" s="7"/>
      <c r="B128" s="8"/>
      <c r="C128" s="9"/>
      <c r="D128" s="8"/>
      <c r="E128" s="194"/>
      <c r="F128" s="19"/>
      <c r="G128" s="19"/>
      <c r="J128" s="8"/>
      <c r="K128" s="30"/>
      <c r="L128" s="30"/>
      <c r="M128" s="30"/>
      <c r="N128" s="30"/>
      <c r="O128" s="30"/>
      <c r="P128" s="30"/>
      <c r="Q128" s="30"/>
      <c r="R128" s="30"/>
      <c r="S128" s="30"/>
      <c r="T128" s="30"/>
      <c r="U128" s="33"/>
      <c r="V128" s="30"/>
      <c r="W128" s="30"/>
      <c r="X128" s="30"/>
      <c r="Y128" s="30"/>
      <c r="AA128" s="19"/>
      <c r="AB128" s="19"/>
      <c r="AC128" s="19"/>
      <c r="AD128" s="19"/>
      <c r="AE128" s="19"/>
      <c r="AF128" s="37"/>
    </row>
    <row r="129" spans="1:32" s="3" customFormat="1" x14ac:dyDescent="0.25">
      <c r="A129" s="7"/>
      <c r="B129" s="8"/>
      <c r="C129" s="9"/>
      <c r="D129" s="8"/>
      <c r="E129" s="194"/>
      <c r="F129" s="19"/>
      <c r="G129" s="19"/>
      <c r="J129" s="8"/>
      <c r="K129" s="30"/>
      <c r="L129" s="30"/>
      <c r="M129" s="30"/>
      <c r="N129" s="30"/>
      <c r="O129" s="30"/>
      <c r="P129" s="30"/>
      <c r="Q129" s="30"/>
      <c r="R129" s="30"/>
      <c r="S129" s="30"/>
      <c r="T129" s="30"/>
      <c r="U129" s="33"/>
      <c r="V129" s="30"/>
      <c r="W129" s="30"/>
      <c r="X129" s="30"/>
      <c r="Y129" s="30"/>
      <c r="AA129" s="19"/>
      <c r="AB129" s="19"/>
      <c r="AC129" s="19"/>
      <c r="AD129" s="19"/>
      <c r="AE129" s="19"/>
      <c r="AF129" s="37"/>
    </row>
    <row r="130" spans="1:32" s="3" customFormat="1" x14ac:dyDescent="0.25">
      <c r="A130" s="7"/>
      <c r="B130" s="8"/>
      <c r="C130" s="9"/>
      <c r="D130" s="8"/>
      <c r="E130" s="194"/>
      <c r="F130" s="19"/>
      <c r="G130" s="19"/>
      <c r="J130" s="8"/>
      <c r="K130" s="30"/>
      <c r="L130" s="30"/>
      <c r="M130" s="30"/>
      <c r="N130" s="30"/>
      <c r="O130" s="30"/>
      <c r="P130" s="30"/>
      <c r="Q130" s="30"/>
      <c r="R130" s="30"/>
      <c r="S130" s="30"/>
      <c r="T130" s="30"/>
      <c r="U130" s="33"/>
      <c r="V130" s="30"/>
      <c r="W130" s="30"/>
      <c r="X130" s="30"/>
      <c r="Y130" s="30"/>
      <c r="AA130" s="19"/>
      <c r="AB130" s="19"/>
      <c r="AC130" s="19"/>
      <c r="AD130" s="19"/>
      <c r="AE130" s="19"/>
      <c r="AF130" s="37"/>
    </row>
    <row r="131" spans="1:32" s="3" customFormat="1" x14ac:dyDescent="0.25">
      <c r="A131" s="7"/>
      <c r="B131" s="8"/>
      <c r="C131" s="9"/>
      <c r="D131" s="8"/>
      <c r="E131" s="194"/>
      <c r="F131" s="19"/>
      <c r="G131" s="19"/>
      <c r="J131" s="8"/>
      <c r="K131" s="30"/>
      <c r="L131" s="30"/>
      <c r="M131" s="30"/>
      <c r="N131" s="30"/>
      <c r="O131" s="30"/>
      <c r="P131" s="30"/>
      <c r="Q131" s="30"/>
      <c r="R131" s="30"/>
      <c r="S131" s="30"/>
      <c r="T131" s="30"/>
      <c r="U131" s="33"/>
      <c r="V131" s="30"/>
      <c r="W131" s="30"/>
      <c r="X131" s="30"/>
      <c r="Y131" s="30"/>
      <c r="AA131" s="19"/>
      <c r="AB131" s="19"/>
      <c r="AC131" s="19"/>
      <c r="AD131" s="19"/>
      <c r="AE131" s="19"/>
      <c r="AF131" s="37"/>
    </row>
    <row r="132" spans="1:32" s="3" customFormat="1" x14ac:dyDescent="0.25">
      <c r="A132" s="7"/>
      <c r="B132" s="8"/>
      <c r="C132" s="9"/>
      <c r="D132" s="8"/>
      <c r="E132" s="194"/>
      <c r="F132" s="19"/>
      <c r="G132" s="19"/>
      <c r="J132" s="8"/>
      <c r="K132" s="30"/>
      <c r="L132" s="30"/>
      <c r="M132" s="30"/>
      <c r="N132" s="30"/>
      <c r="O132" s="30"/>
      <c r="P132" s="30"/>
      <c r="Q132" s="30"/>
      <c r="R132" s="30"/>
      <c r="S132" s="30"/>
      <c r="T132" s="30"/>
      <c r="U132" s="33"/>
      <c r="V132" s="30"/>
      <c r="W132" s="30"/>
      <c r="X132" s="30"/>
      <c r="Y132" s="30"/>
      <c r="AA132" s="19"/>
      <c r="AB132" s="19"/>
      <c r="AC132" s="19"/>
      <c r="AD132" s="19"/>
      <c r="AE132" s="19"/>
      <c r="AF132" s="37"/>
    </row>
    <row r="133" spans="1:32" s="3" customFormat="1" x14ac:dyDescent="0.25">
      <c r="A133" s="7"/>
      <c r="B133" s="8"/>
      <c r="C133" s="9"/>
      <c r="D133" s="8"/>
      <c r="E133" s="194"/>
      <c r="F133" s="19"/>
      <c r="G133" s="19"/>
      <c r="J133" s="8"/>
      <c r="K133" s="30"/>
      <c r="L133" s="30"/>
      <c r="M133" s="30"/>
      <c r="N133" s="30"/>
      <c r="O133" s="30"/>
      <c r="P133" s="30"/>
      <c r="Q133" s="30"/>
      <c r="R133" s="30"/>
      <c r="S133" s="30"/>
      <c r="T133" s="30"/>
      <c r="U133" s="33"/>
      <c r="V133" s="30"/>
      <c r="W133" s="30"/>
      <c r="X133" s="30"/>
      <c r="Y133" s="30"/>
      <c r="AA133" s="19"/>
      <c r="AB133" s="19"/>
      <c r="AC133" s="19"/>
      <c r="AD133" s="19"/>
      <c r="AE133" s="19"/>
      <c r="AF133" s="37"/>
    </row>
    <row r="134" spans="1:32" s="3" customFormat="1" x14ac:dyDescent="0.25">
      <c r="A134" s="7"/>
      <c r="B134" s="8"/>
      <c r="C134" s="9"/>
      <c r="D134" s="8"/>
      <c r="E134" s="194"/>
      <c r="F134" s="19"/>
      <c r="G134" s="19"/>
      <c r="J134" s="8"/>
      <c r="K134" s="30"/>
      <c r="L134" s="30"/>
      <c r="M134" s="30"/>
      <c r="N134" s="30"/>
      <c r="O134" s="30"/>
      <c r="P134" s="30"/>
      <c r="Q134" s="30"/>
      <c r="R134" s="30"/>
      <c r="S134" s="30"/>
      <c r="T134" s="30"/>
      <c r="U134" s="33"/>
      <c r="V134" s="30"/>
      <c r="W134" s="30"/>
      <c r="X134" s="30"/>
      <c r="Y134" s="30"/>
      <c r="AA134" s="19"/>
      <c r="AB134" s="19"/>
      <c r="AC134" s="19"/>
      <c r="AD134" s="19"/>
      <c r="AE134" s="19"/>
      <c r="AF134" s="37"/>
    </row>
    <row r="135" spans="1:32" s="3" customFormat="1" x14ac:dyDescent="0.25">
      <c r="A135" s="7"/>
      <c r="B135" s="8"/>
      <c r="C135" s="9"/>
      <c r="D135" s="8"/>
      <c r="E135" s="194"/>
      <c r="F135" s="19"/>
      <c r="G135" s="19"/>
      <c r="J135" s="8"/>
      <c r="K135" s="30"/>
      <c r="L135" s="30"/>
      <c r="M135" s="30"/>
      <c r="N135" s="30"/>
      <c r="O135" s="30"/>
      <c r="P135" s="30"/>
      <c r="Q135" s="30"/>
      <c r="R135" s="30"/>
      <c r="S135" s="30"/>
      <c r="T135" s="30"/>
      <c r="U135" s="33"/>
      <c r="V135" s="30"/>
      <c r="W135" s="30"/>
      <c r="X135" s="30"/>
      <c r="Y135" s="30"/>
      <c r="AA135" s="19"/>
      <c r="AB135" s="19"/>
      <c r="AC135" s="19"/>
      <c r="AD135" s="19"/>
      <c r="AE135" s="19"/>
      <c r="AF135" s="37"/>
    </row>
    <row r="136" spans="1:32" s="3" customFormat="1" x14ac:dyDescent="0.25">
      <c r="A136" s="7"/>
      <c r="B136" s="8"/>
      <c r="C136" s="9"/>
      <c r="D136" s="8"/>
      <c r="E136" s="194"/>
      <c r="F136" s="19"/>
      <c r="G136" s="19"/>
      <c r="J136" s="8"/>
      <c r="K136" s="30"/>
      <c r="L136" s="30"/>
      <c r="M136" s="30"/>
      <c r="N136" s="30"/>
      <c r="O136" s="30"/>
      <c r="P136" s="30"/>
      <c r="Q136" s="30"/>
      <c r="R136" s="30"/>
      <c r="S136" s="30"/>
      <c r="T136" s="30"/>
      <c r="U136" s="33"/>
      <c r="V136" s="30"/>
      <c r="W136" s="30"/>
      <c r="X136" s="30"/>
      <c r="Y136" s="30"/>
      <c r="AA136" s="19"/>
      <c r="AB136" s="19"/>
      <c r="AC136" s="19"/>
      <c r="AD136" s="19"/>
      <c r="AE136" s="19"/>
      <c r="AF136" s="37"/>
    </row>
    <row r="137" spans="1:32" s="3" customFormat="1" x14ac:dyDescent="0.25">
      <c r="A137" s="7"/>
      <c r="B137" s="8"/>
      <c r="C137" s="9"/>
      <c r="D137" s="8"/>
      <c r="E137" s="194"/>
      <c r="F137" s="19"/>
      <c r="G137" s="19"/>
      <c r="J137" s="8"/>
      <c r="K137" s="30"/>
      <c r="L137" s="30"/>
      <c r="M137" s="30"/>
      <c r="N137" s="30"/>
      <c r="O137" s="30"/>
      <c r="P137" s="30"/>
      <c r="Q137" s="30"/>
      <c r="R137" s="30"/>
      <c r="S137" s="30"/>
      <c r="T137" s="30"/>
      <c r="U137" s="33"/>
      <c r="V137" s="30"/>
      <c r="W137" s="30"/>
      <c r="X137" s="30"/>
      <c r="Y137" s="30"/>
      <c r="AA137" s="19"/>
      <c r="AB137" s="19"/>
      <c r="AC137" s="19"/>
      <c r="AD137" s="19"/>
      <c r="AE137" s="19"/>
      <c r="AF137" s="37"/>
    </row>
    <row r="138" spans="1:32" s="3" customFormat="1" x14ac:dyDescent="0.25">
      <c r="A138" s="7"/>
      <c r="B138" s="8"/>
      <c r="C138" s="9"/>
      <c r="D138" s="8"/>
      <c r="E138" s="194"/>
      <c r="F138" s="19"/>
      <c r="G138" s="19"/>
      <c r="J138" s="8"/>
      <c r="K138" s="30"/>
      <c r="L138" s="30"/>
      <c r="M138" s="30"/>
      <c r="N138" s="30"/>
      <c r="O138" s="30"/>
      <c r="P138" s="30"/>
      <c r="Q138" s="30"/>
      <c r="R138" s="30"/>
      <c r="S138" s="30"/>
      <c r="T138" s="30"/>
      <c r="U138" s="33"/>
      <c r="V138" s="30"/>
      <c r="W138" s="30"/>
      <c r="X138" s="30"/>
      <c r="Y138" s="30"/>
      <c r="AA138" s="19"/>
      <c r="AB138" s="19"/>
      <c r="AC138" s="19"/>
      <c r="AD138" s="19"/>
      <c r="AE138" s="19"/>
      <c r="AF138" s="37"/>
    </row>
    <row r="139" spans="1:32" s="3" customFormat="1" x14ac:dyDescent="0.25">
      <c r="A139" s="7"/>
      <c r="B139" s="8"/>
      <c r="C139" s="9"/>
      <c r="D139" s="8"/>
      <c r="E139" s="194"/>
      <c r="F139" s="19"/>
      <c r="G139" s="19"/>
      <c r="J139" s="8"/>
      <c r="K139" s="30"/>
      <c r="L139" s="30"/>
      <c r="M139" s="30"/>
      <c r="N139" s="30"/>
      <c r="O139" s="30"/>
      <c r="P139" s="30"/>
      <c r="Q139" s="30"/>
      <c r="R139" s="30"/>
      <c r="S139" s="30"/>
      <c r="T139" s="30"/>
      <c r="U139" s="33"/>
      <c r="V139" s="30"/>
      <c r="W139" s="30"/>
      <c r="X139" s="30"/>
      <c r="Y139" s="30"/>
      <c r="AA139" s="19"/>
      <c r="AB139" s="19"/>
      <c r="AC139" s="19"/>
      <c r="AD139" s="19"/>
      <c r="AE139" s="19"/>
      <c r="AF139" s="37"/>
    </row>
    <row r="140" spans="1:32" s="3" customFormat="1" x14ac:dyDescent="0.25">
      <c r="A140" s="7"/>
      <c r="B140" s="8"/>
      <c r="C140" s="9"/>
      <c r="D140" s="8"/>
      <c r="E140" s="194"/>
      <c r="F140" s="19"/>
      <c r="G140" s="19"/>
      <c r="J140" s="8"/>
      <c r="K140" s="30"/>
      <c r="L140" s="30"/>
      <c r="M140" s="30"/>
      <c r="N140" s="30"/>
      <c r="O140" s="30"/>
      <c r="P140" s="30"/>
      <c r="Q140" s="30"/>
      <c r="R140" s="30"/>
      <c r="S140" s="30"/>
      <c r="T140" s="30"/>
      <c r="U140" s="33"/>
      <c r="V140" s="30"/>
      <c r="W140" s="30"/>
      <c r="X140" s="30"/>
      <c r="Y140" s="30"/>
      <c r="AA140" s="19"/>
      <c r="AB140" s="19"/>
      <c r="AC140" s="19"/>
      <c r="AD140" s="19"/>
      <c r="AE140" s="19"/>
      <c r="AF140" s="37"/>
    </row>
    <row r="141" spans="1:32" s="3" customFormat="1" x14ac:dyDescent="0.25">
      <c r="A141" s="7"/>
      <c r="B141" s="8"/>
      <c r="C141" s="9"/>
      <c r="D141" s="8"/>
      <c r="E141" s="194"/>
      <c r="F141" s="19"/>
      <c r="G141" s="19"/>
      <c r="J141" s="8"/>
      <c r="K141" s="30"/>
      <c r="L141" s="30"/>
      <c r="M141" s="30"/>
      <c r="N141" s="30"/>
      <c r="O141" s="30"/>
      <c r="P141" s="30"/>
      <c r="Q141" s="30"/>
      <c r="R141" s="30"/>
      <c r="S141" s="30"/>
      <c r="T141" s="30"/>
      <c r="U141" s="33"/>
      <c r="V141" s="30"/>
      <c r="W141" s="30"/>
      <c r="X141" s="30"/>
      <c r="Y141" s="30"/>
      <c r="AA141" s="19"/>
      <c r="AB141" s="19"/>
      <c r="AC141" s="19"/>
      <c r="AD141" s="19"/>
      <c r="AE141" s="19"/>
      <c r="AF141" s="37"/>
    </row>
    <row r="142" spans="1:32" s="3" customFormat="1" x14ac:dyDescent="0.25">
      <c r="A142" s="7"/>
      <c r="B142" s="8"/>
      <c r="C142" s="9"/>
      <c r="D142" s="8"/>
      <c r="E142" s="194"/>
      <c r="F142" s="19"/>
      <c r="G142" s="19"/>
      <c r="J142" s="8"/>
      <c r="K142" s="30"/>
      <c r="L142" s="30"/>
      <c r="M142" s="30"/>
      <c r="N142" s="30"/>
      <c r="O142" s="30"/>
      <c r="P142" s="30"/>
      <c r="Q142" s="30"/>
      <c r="R142" s="30"/>
      <c r="S142" s="30"/>
      <c r="T142" s="30"/>
      <c r="U142" s="33"/>
      <c r="V142" s="30"/>
      <c r="W142" s="30"/>
      <c r="X142" s="30"/>
      <c r="Y142" s="30"/>
      <c r="AA142" s="19"/>
      <c r="AB142" s="19"/>
      <c r="AC142" s="19"/>
      <c r="AD142" s="19"/>
      <c r="AE142" s="19"/>
      <c r="AF142" s="37"/>
    </row>
    <row r="143" spans="1:32" s="3" customFormat="1" x14ac:dyDescent="0.25">
      <c r="A143" s="7"/>
      <c r="B143" s="8"/>
      <c r="C143" s="9"/>
      <c r="D143" s="8"/>
      <c r="E143" s="194"/>
      <c r="F143" s="19"/>
      <c r="G143" s="19"/>
      <c r="J143" s="8"/>
      <c r="K143" s="30"/>
      <c r="L143" s="30"/>
      <c r="M143" s="30"/>
      <c r="N143" s="30"/>
      <c r="O143" s="30"/>
      <c r="P143" s="30"/>
      <c r="Q143" s="30"/>
      <c r="R143" s="30"/>
      <c r="S143" s="30"/>
      <c r="T143" s="30"/>
      <c r="U143" s="33"/>
      <c r="V143" s="30"/>
      <c r="W143" s="30"/>
      <c r="X143" s="30"/>
      <c r="Y143" s="30"/>
      <c r="AA143" s="19"/>
      <c r="AB143" s="19"/>
      <c r="AC143" s="19"/>
      <c r="AD143" s="19"/>
      <c r="AE143" s="19"/>
      <c r="AF143" s="37"/>
    </row>
    <row r="144" spans="1:32" s="3" customFormat="1" x14ac:dyDescent="0.25">
      <c r="A144" s="7"/>
      <c r="B144" s="8"/>
      <c r="C144" s="9"/>
      <c r="D144" s="8"/>
      <c r="E144" s="194"/>
      <c r="F144" s="19"/>
      <c r="G144" s="19"/>
      <c r="J144" s="8"/>
      <c r="K144" s="30"/>
      <c r="L144" s="30"/>
      <c r="M144" s="30"/>
      <c r="N144" s="30"/>
      <c r="O144" s="30"/>
      <c r="P144" s="30"/>
      <c r="Q144" s="30"/>
      <c r="R144" s="30"/>
      <c r="S144" s="30"/>
      <c r="T144" s="30"/>
      <c r="U144" s="33"/>
      <c r="V144" s="30"/>
      <c r="W144" s="30"/>
      <c r="X144" s="30"/>
      <c r="Y144" s="30"/>
      <c r="AA144" s="19"/>
      <c r="AB144" s="19"/>
      <c r="AC144" s="19"/>
      <c r="AD144" s="19"/>
      <c r="AE144" s="19"/>
      <c r="AF144" s="37"/>
    </row>
    <row r="145" spans="1:32" s="3" customFormat="1" x14ac:dyDescent="0.25">
      <c r="A145" s="7"/>
      <c r="B145" s="8"/>
      <c r="C145" s="9"/>
      <c r="D145" s="8"/>
      <c r="E145" s="194"/>
      <c r="F145" s="19"/>
      <c r="G145" s="19"/>
      <c r="J145" s="8"/>
      <c r="K145" s="30"/>
      <c r="L145" s="30"/>
      <c r="M145" s="30"/>
      <c r="N145" s="30"/>
      <c r="O145" s="30"/>
      <c r="P145" s="30"/>
      <c r="Q145" s="30"/>
      <c r="R145" s="30"/>
      <c r="S145" s="30"/>
      <c r="T145" s="30"/>
      <c r="U145" s="33"/>
      <c r="V145" s="30"/>
      <c r="W145" s="30"/>
      <c r="X145" s="30"/>
      <c r="Y145" s="30"/>
      <c r="AA145" s="19"/>
      <c r="AB145" s="19"/>
      <c r="AC145" s="19"/>
      <c r="AD145" s="19"/>
      <c r="AE145" s="19"/>
      <c r="AF145" s="37"/>
    </row>
    <row r="146" spans="1:32" s="3" customFormat="1" x14ac:dyDescent="0.25">
      <c r="A146" s="7"/>
      <c r="B146" s="8"/>
      <c r="C146" s="9"/>
      <c r="D146" s="8"/>
      <c r="E146" s="194"/>
      <c r="F146" s="19"/>
      <c r="G146" s="19"/>
      <c r="J146" s="8"/>
      <c r="K146" s="30"/>
      <c r="L146" s="30"/>
      <c r="M146" s="30"/>
      <c r="N146" s="30"/>
      <c r="O146" s="30"/>
      <c r="P146" s="30"/>
      <c r="Q146" s="30"/>
      <c r="R146" s="30"/>
      <c r="S146" s="30"/>
      <c r="T146" s="30"/>
      <c r="U146" s="33"/>
      <c r="V146" s="30"/>
      <c r="W146" s="30"/>
      <c r="X146" s="30"/>
      <c r="Y146" s="30"/>
      <c r="AA146" s="19"/>
      <c r="AB146" s="19"/>
      <c r="AC146" s="19"/>
      <c r="AD146" s="19"/>
      <c r="AE146" s="19"/>
      <c r="AF146" s="37"/>
    </row>
    <row r="147" spans="1:32" s="3" customFormat="1" x14ac:dyDescent="0.25">
      <c r="A147" s="7"/>
      <c r="B147" s="8"/>
      <c r="C147" s="9"/>
      <c r="D147" s="8"/>
      <c r="E147" s="194"/>
      <c r="F147" s="19"/>
      <c r="G147" s="19"/>
      <c r="J147" s="8"/>
      <c r="K147" s="30"/>
      <c r="L147" s="30"/>
      <c r="M147" s="30"/>
      <c r="N147" s="30"/>
      <c r="O147" s="30"/>
      <c r="P147" s="30"/>
      <c r="Q147" s="30"/>
      <c r="R147" s="30"/>
      <c r="S147" s="30"/>
      <c r="T147" s="30"/>
      <c r="U147" s="33"/>
      <c r="V147" s="30"/>
      <c r="W147" s="30"/>
      <c r="X147" s="30"/>
      <c r="Y147" s="30"/>
      <c r="AA147" s="19"/>
      <c r="AB147" s="19"/>
      <c r="AC147" s="19"/>
      <c r="AD147" s="19"/>
      <c r="AE147" s="19"/>
      <c r="AF147" s="37"/>
    </row>
    <row r="148" spans="1:32" s="3" customFormat="1" x14ac:dyDescent="0.25">
      <c r="A148" s="7"/>
      <c r="B148" s="8"/>
      <c r="C148" s="9"/>
      <c r="D148" s="8"/>
      <c r="E148" s="194"/>
      <c r="F148" s="19"/>
      <c r="G148" s="19"/>
      <c r="J148" s="8"/>
      <c r="K148" s="30"/>
      <c r="L148" s="30"/>
      <c r="M148" s="30"/>
      <c r="N148" s="30"/>
      <c r="O148" s="30"/>
      <c r="P148" s="30"/>
      <c r="Q148" s="30"/>
      <c r="R148" s="30"/>
      <c r="S148" s="30"/>
      <c r="T148" s="30"/>
      <c r="U148" s="33"/>
      <c r="V148" s="30"/>
      <c r="W148" s="30"/>
      <c r="X148" s="30"/>
      <c r="Y148" s="30"/>
      <c r="AA148" s="19"/>
      <c r="AB148" s="19"/>
      <c r="AC148" s="19"/>
      <c r="AD148" s="19"/>
      <c r="AE148" s="19"/>
      <c r="AF148" s="37"/>
    </row>
    <row r="149" spans="1:32" s="3" customFormat="1" x14ac:dyDescent="0.25">
      <c r="A149" s="7"/>
      <c r="B149" s="8"/>
      <c r="C149" s="9"/>
      <c r="D149" s="8"/>
      <c r="E149" s="194"/>
      <c r="F149" s="19"/>
      <c r="G149" s="19"/>
      <c r="J149" s="8"/>
      <c r="K149" s="30"/>
      <c r="L149" s="30"/>
      <c r="M149" s="30"/>
      <c r="N149" s="30"/>
      <c r="O149" s="30"/>
      <c r="P149" s="30"/>
      <c r="Q149" s="30"/>
      <c r="R149" s="30"/>
      <c r="S149" s="30"/>
      <c r="T149" s="30"/>
      <c r="U149" s="33"/>
      <c r="V149" s="30"/>
      <c r="W149" s="30"/>
      <c r="X149" s="30"/>
      <c r="Y149" s="30"/>
      <c r="AA149" s="19"/>
      <c r="AB149" s="19"/>
      <c r="AC149" s="19"/>
      <c r="AD149" s="19"/>
      <c r="AE149" s="19"/>
      <c r="AF149" s="37"/>
    </row>
    <row r="150" spans="1:32" s="3" customFormat="1" x14ac:dyDescent="0.25">
      <c r="A150" s="7"/>
      <c r="B150" s="8"/>
      <c r="C150" s="9"/>
      <c r="D150" s="8"/>
      <c r="E150" s="194"/>
      <c r="F150" s="19"/>
      <c r="G150" s="19"/>
      <c r="J150" s="8"/>
      <c r="K150" s="30"/>
      <c r="L150" s="30"/>
      <c r="M150" s="30"/>
      <c r="N150" s="30"/>
      <c r="O150" s="30"/>
      <c r="P150" s="30"/>
      <c r="Q150" s="30"/>
      <c r="R150" s="30"/>
      <c r="S150" s="30"/>
      <c r="T150" s="30"/>
      <c r="U150" s="33"/>
      <c r="V150" s="30"/>
      <c r="W150" s="30"/>
      <c r="X150" s="30"/>
      <c r="Y150" s="30"/>
      <c r="AA150" s="19"/>
      <c r="AB150" s="19"/>
      <c r="AC150" s="19"/>
      <c r="AD150" s="19"/>
      <c r="AE150" s="19"/>
      <c r="AF150" s="37"/>
    </row>
    <row r="151" spans="1:32" s="3" customFormat="1" x14ac:dyDescent="0.25">
      <c r="A151" s="7"/>
      <c r="B151" s="8"/>
      <c r="C151" s="9"/>
      <c r="D151" s="8"/>
      <c r="E151" s="194"/>
      <c r="F151" s="19"/>
      <c r="G151" s="19"/>
      <c r="J151" s="8"/>
      <c r="K151" s="30"/>
      <c r="L151" s="30"/>
      <c r="M151" s="30"/>
      <c r="N151" s="30"/>
      <c r="O151" s="30"/>
      <c r="P151" s="30"/>
      <c r="Q151" s="30"/>
      <c r="R151" s="30"/>
      <c r="S151" s="30"/>
      <c r="T151" s="30"/>
      <c r="U151" s="33"/>
      <c r="V151" s="30"/>
      <c r="W151" s="30"/>
      <c r="X151" s="30"/>
      <c r="Y151" s="30"/>
      <c r="AA151" s="19"/>
      <c r="AB151" s="19"/>
      <c r="AC151" s="19"/>
      <c r="AD151" s="19"/>
      <c r="AE151" s="19"/>
      <c r="AF151" s="37"/>
    </row>
    <row r="152" spans="1:32" s="3" customFormat="1" x14ac:dyDescent="0.25">
      <c r="A152" s="7"/>
      <c r="B152" s="8"/>
      <c r="C152" s="9"/>
      <c r="D152" s="8"/>
      <c r="E152" s="194"/>
      <c r="F152" s="19"/>
      <c r="G152" s="19"/>
      <c r="J152" s="8"/>
      <c r="K152" s="30"/>
      <c r="L152" s="30"/>
      <c r="M152" s="30"/>
      <c r="N152" s="30"/>
      <c r="O152" s="30"/>
      <c r="P152" s="30"/>
      <c r="Q152" s="30"/>
      <c r="R152" s="30"/>
      <c r="S152" s="30"/>
      <c r="T152" s="30"/>
      <c r="U152" s="33"/>
      <c r="V152" s="30"/>
      <c r="W152" s="30"/>
      <c r="X152" s="30"/>
      <c r="Y152" s="30"/>
      <c r="AA152" s="19"/>
      <c r="AB152" s="19"/>
      <c r="AC152" s="19"/>
      <c r="AD152" s="19"/>
      <c r="AE152" s="19"/>
      <c r="AF152" s="37"/>
    </row>
    <row r="153" spans="1:32" s="3" customFormat="1" x14ac:dyDescent="0.25">
      <c r="A153" s="7"/>
      <c r="B153" s="8"/>
      <c r="C153" s="9"/>
      <c r="D153" s="8"/>
      <c r="E153" s="194"/>
      <c r="F153" s="19"/>
      <c r="G153" s="19"/>
      <c r="J153" s="8"/>
      <c r="K153" s="30"/>
      <c r="L153" s="30"/>
      <c r="M153" s="30"/>
      <c r="N153" s="30"/>
      <c r="O153" s="30"/>
      <c r="P153" s="30"/>
      <c r="Q153" s="30"/>
      <c r="R153" s="30"/>
      <c r="S153" s="30"/>
      <c r="T153" s="30"/>
      <c r="U153" s="33"/>
      <c r="V153" s="30"/>
      <c r="W153" s="30"/>
      <c r="X153" s="30"/>
      <c r="Y153" s="30"/>
      <c r="AA153" s="19"/>
      <c r="AB153" s="19"/>
      <c r="AC153" s="19"/>
      <c r="AD153" s="19"/>
      <c r="AE153" s="19"/>
      <c r="AF153" s="37"/>
    </row>
    <row r="154" spans="1:32" s="3" customFormat="1" x14ac:dyDescent="0.25">
      <c r="A154" s="7"/>
      <c r="B154" s="8"/>
      <c r="C154" s="9"/>
      <c r="D154" s="8"/>
      <c r="E154" s="194"/>
      <c r="F154" s="19"/>
      <c r="G154" s="19"/>
      <c r="J154" s="8"/>
      <c r="K154" s="30"/>
      <c r="L154" s="30"/>
      <c r="M154" s="30"/>
      <c r="N154" s="30"/>
      <c r="O154" s="30"/>
      <c r="P154" s="30"/>
      <c r="Q154" s="30"/>
      <c r="R154" s="30"/>
      <c r="S154" s="30"/>
      <c r="T154" s="30"/>
      <c r="U154" s="33"/>
      <c r="V154" s="30"/>
      <c r="W154" s="30"/>
      <c r="X154" s="30"/>
      <c r="Y154" s="30"/>
      <c r="AA154" s="19"/>
      <c r="AB154" s="19"/>
      <c r="AC154" s="19"/>
      <c r="AD154" s="19"/>
      <c r="AE154" s="19"/>
      <c r="AF154" s="37"/>
    </row>
    <row r="155" spans="1:32" s="3" customFormat="1" x14ac:dyDescent="0.25">
      <c r="A155" s="7"/>
      <c r="B155" s="8"/>
      <c r="C155" s="9"/>
      <c r="D155" s="8"/>
      <c r="E155" s="194"/>
      <c r="F155" s="19"/>
      <c r="G155" s="19"/>
      <c r="J155" s="8"/>
      <c r="K155" s="30"/>
      <c r="L155" s="30"/>
      <c r="M155" s="30"/>
      <c r="N155" s="30"/>
      <c r="O155" s="30"/>
      <c r="P155" s="30"/>
      <c r="Q155" s="30"/>
      <c r="R155" s="30"/>
      <c r="S155" s="30"/>
      <c r="T155" s="30"/>
      <c r="U155" s="33"/>
      <c r="V155" s="30"/>
      <c r="W155" s="30"/>
      <c r="X155" s="30"/>
      <c r="Y155" s="30"/>
      <c r="AA155" s="19"/>
      <c r="AB155" s="19"/>
      <c r="AC155" s="19"/>
      <c r="AD155" s="19"/>
      <c r="AE155" s="19"/>
      <c r="AF155" s="37"/>
    </row>
    <row r="156" spans="1:32" s="3" customFormat="1" x14ac:dyDescent="0.25">
      <c r="A156" s="7"/>
      <c r="B156" s="8"/>
      <c r="C156" s="9"/>
      <c r="D156" s="8"/>
      <c r="E156" s="194"/>
      <c r="F156" s="19"/>
      <c r="G156" s="19"/>
      <c r="J156" s="8"/>
      <c r="K156" s="30"/>
      <c r="L156" s="30"/>
      <c r="M156" s="30"/>
      <c r="N156" s="30"/>
      <c r="O156" s="30"/>
      <c r="P156" s="30"/>
      <c r="Q156" s="30"/>
      <c r="R156" s="30"/>
      <c r="S156" s="30"/>
      <c r="T156" s="30"/>
      <c r="U156" s="33"/>
      <c r="V156" s="30"/>
      <c r="W156" s="30"/>
      <c r="X156" s="30"/>
      <c r="Y156" s="30"/>
      <c r="AA156" s="19"/>
      <c r="AB156" s="19"/>
      <c r="AC156" s="19"/>
      <c r="AD156" s="19"/>
      <c r="AE156" s="19"/>
      <c r="AF156" s="37"/>
    </row>
    <row r="157" spans="1:32" s="3" customFormat="1" x14ac:dyDescent="0.25">
      <c r="A157" s="7"/>
      <c r="B157" s="8"/>
      <c r="C157" s="9"/>
      <c r="D157" s="8"/>
      <c r="E157" s="194"/>
      <c r="F157" s="19"/>
      <c r="G157" s="19"/>
      <c r="J157" s="8"/>
      <c r="K157" s="30"/>
      <c r="L157" s="30"/>
      <c r="M157" s="30"/>
      <c r="N157" s="30"/>
      <c r="O157" s="30"/>
      <c r="P157" s="30"/>
      <c r="Q157" s="30"/>
      <c r="R157" s="30"/>
      <c r="S157" s="30"/>
      <c r="T157" s="30"/>
      <c r="U157" s="33"/>
      <c r="V157" s="30"/>
      <c r="W157" s="30"/>
      <c r="X157" s="30"/>
      <c r="Y157" s="30"/>
      <c r="AA157" s="19"/>
      <c r="AB157" s="19"/>
      <c r="AC157" s="19"/>
      <c r="AD157" s="19"/>
      <c r="AE157" s="19"/>
      <c r="AF157" s="37"/>
    </row>
    <row r="158" spans="1:32" s="3" customFormat="1" x14ac:dyDescent="0.25">
      <c r="A158" s="7"/>
      <c r="B158" s="8"/>
      <c r="C158" s="9"/>
      <c r="D158" s="8"/>
      <c r="E158" s="194"/>
      <c r="F158" s="19"/>
      <c r="G158" s="19"/>
      <c r="J158" s="8"/>
      <c r="K158" s="30"/>
      <c r="L158" s="30"/>
      <c r="M158" s="30"/>
      <c r="N158" s="30"/>
      <c r="O158" s="30"/>
      <c r="P158" s="30"/>
      <c r="Q158" s="30"/>
      <c r="R158" s="30"/>
      <c r="S158" s="30"/>
      <c r="T158" s="30"/>
      <c r="U158" s="33"/>
      <c r="V158" s="30"/>
      <c r="W158" s="30"/>
      <c r="X158" s="30"/>
      <c r="Y158" s="30"/>
      <c r="AA158" s="19"/>
      <c r="AB158" s="19"/>
      <c r="AC158" s="19"/>
      <c r="AD158" s="19"/>
      <c r="AE158" s="19"/>
      <c r="AF158" s="37"/>
    </row>
    <row r="159" spans="1:32" s="3" customFormat="1" x14ac:dyDescent="0.25">
      <c r="A159" s="7"/>
      <c r="B159" s="8"/>
      <c r="C159" s="9"/>
      <c r="D159" s="8"/>
      <c r="E159" s="194"/>
      <c r="F159" s="19"/>
      <c r="G159" s="19"/>
      <c r="J159" s="8"/>
      <c r="K159" s="30"/>
      <c r="L159" s="30"/>
      <c r="M159" s="30"/>
      <c r="N159" s="30"/>
      <c r="O159" s="30"/>
      <c r="P159" s="30"/>
      <c r="Q159" s="30"/>
      <c r="R159" s="30"/>
      <c r="S159" s="30"/>
      <c r="T159" s="30"/>
      <c r="U159" s="33"/>
      <c r="V159" s="30"/>
      <c r="W159" s="30"/>
      <c r="X159" s="30"/>
      <c r="Y159" s="30"/>
      <c r="AA159" s="19"/>
      <c r="AB159" s="19"/>
      <c r="AC159" s="19"/>
      <c r="AD159" s="19"/>
      <c r="AE159" s="19"/>
      <c r="AF159" s="37"/>
    </row>
    <row r="160" spans="1:32" s="3" customFormat="1" x14ac:dyDescent="0.25">
      <c r="A160" s="7"/>
      <c r="B160" s="8"/>
      <c r="C160" s="9"/>
      <c r="D160" s="8"/>
      <c r="E160" s="194"/>
      <c r="F160" s="19"/>
      <c r="G160" s="19"/>
      <c r="J160" s="8"/>
      <c r="K160" s="30"/>
      <c r="L160" s="30"/>
      <c r="M160" s="30"/>
      <c r="N160" s="30"/>
      <c r="O160" s="30"/>
      <c r="P160" s="30"/>
      <c r="Q160" s="30"/>
      <c r="R160" s="30"/>
      <c r="S160" s="30"/>
      <c r="T160" s="30"/>
      <c r="U160" s="33"/>
      <c r="V160" s="30"/>
      <c r="W160" s="30"/>
      <c r="X160" s="30"/>
      <c r="Y160" s="30"/>
      <c r="AA160" s="19"/>
      <c r="AB160" s="19"/>
      <c r="AC160" s="19"/>
      <c r="AD160" s="19"/>
      <c r="AE160" s="19"/>
      <c r="AF160" s="37"/>
    </row>
    <row r="161" spans="1:32" s="3" customFormat="1" x14ac:dyDescent="0.25">
      <c r="A161" s="7"/>
      <c r="B161" s="8"/>
      <c r="C161" s="9"/>
      <c r="D161" s="8"/>
      <c r="E161" s="194"/>
      <c r="F161" s="19"/>
      <c r="G161" s="19"/>
      <c r="J161" s="8"/>
      <c r="K161" s="30"/>
      <c r="L161" s="30"/>
      <c r="M161" s="30"/>
      <c r="N161" s="30"/>
      <c r="O161" s="30"/>
      <c r="P161" s="30"/>
      <c r="Q161" s="30"/>
      <c r="R161" s="30"/>
      <c r="S161" s="30"/>
      <c r="T161" s="30"/>
      <c r="U161" s="33"/>
      <c r="V161" s="30"/>
      <c r="W161" s="30"/>
      <c r="X161" s="30"/>
      <c r="Y161" s="30"/>
      <c r="AA161" s="19"/>
      <c r="AB161" s="19"/>
      <c r="AC161" s="19"/>
      <c r="AD161" s="19"/>
      <c r="AE161" s="19"/>
      <c r="AF161" s="37"/>
    </row>
    <row r="162" spans="1:32" s="3" customFormat="1" x14ac:dyDescent="0.25">
      <c r="A162" s="7"/>
      <c r="B162" s="8"/>
      <c r="C162" s="9"/>
      <c r="D162" s="8"/>
      <c r="E162" s="194"/>
      <c r="F162" s="19"/>
      <c r="G162" s="19"/>
      <c r="J162" s="8"/>
      <c r="K162" s="30"/>
      <c r="L162" s="30"/>
      <c r="M162" s="30"/>
      <c r="N162" s="30"/>
      <c r="O162" s="30"/>
      <c r="P162" s="30"/>
      <c r="Q162" s="30"/>
      <c r="R162" s="30"/>
      <c r="S162" s="30"/>
      <c r="T162" s="30"/>
      <c r="U162" s="33"/>
      <c r="V162" s="30"/>
      <c r="W162" s="30"/>
      <c r="X162" s="30"/>
      <c r="Y162" s="30"/>
      <c r="AA162" s="19"/>
      <c r="AB162" s="19"/>
      <c r="AC162" s="19"/>
      <c r="AD162" s="19"/>
      <c r="AE162" s="19"/>
      <c r="AF162" s="37"/>
    </row>
    <row r="163" spans="1:32" s="3" customFormat="1" x14ac:dyDescent="0.25">
      <c r="A163" s="7"/>
      <c r="B163" s="8"/>
      <c r="C163" s="9"/>
      <c r="D163" s="8"/>
      <c r="E163" s="194"/>
      <c r="F163" s="19"/>
      <c r="G163" s="19"/>
      <c r="J163" s="8"/>
      <c r="K163" s="30"/>
      <c r="L163" s="30"/>
      <c r="M163" s="30"/>
      <c r="N163" s="30"/>
      <c r="O163" s="30"/>
      <c r="P163" s="30"/>
      <c r="Q163" s="30"/>
      <c r="R163" s="30"/>
      <c r="S163" s="30"/>
      <c r="T163" s="30"/>
      <c r="U163" s="33"/>
      <c r="V163" s="30"/>
      <c r="W163" s="30"/>
      <c r="X163" s="30"/>
      <c r="Y163" s="30"/>
      <c r="AA163" s="19"/>
      <c r="AB163" s="19"/>
      <c r="AC163" s="19"/>
      <c r="AD163" s="19"/>
      <c r="AE163" s="19"/>
      <c r="AF163" s="37"/>
    </row>
    <row r="164" spans="1:32" s="3" customFormat="1" x14ac:dyDescent="0.25">
      <c r="A164" s="7"/>
      <c r="B164" s="8"/>
      <c r="C164" s="9"/>
      <c r="D164" s="8"/>
      <c r="E164" s="194"/>
      <c r="F164" s="19"/>
      <c r="G164" s="19"/>
      <c r="J164" s="8"/>
      <c r="K164" s="30"/>
      <c r="L164" s="30"/>
      <c r="M164" s="30"/>
      <c r="N164" s="30"/>
      <c r="O164" s="30"/>
      <c r="P164" s="30"/>
      <c r="Q164" s="30"/>
      <c r="R164" s="30"/>
      <c r="S164" s="30"/>
      <c r="T164" s="30"/>
      <c r="U164" s="33"/>
      <c r="V164" s="30"/>
      <c r="W164" s="30"/>
      <c r="X164" s="30"/>
      <c r="Y164" s="30"/>
      <c r="AA164" s="19"/>
      <c r="AB164" s="19"/>
      <c r="AC164" s="19"/>
      <c r="AD164" s="19"/>
      <c r="AE164" s="19"/>
      <c r="AF164" s="37"/>
    </row>
    <row r="165" spans="1:32" s="3" customFormat="1" x14ac:dyDescent="0.25">
      <c r="A165" s="7"/>
      <c r="B165" s="8"/>
      <c r="C165" s="9"/>
      <c r="D165" s="8"/>
      <c r="E165" s="194"/>
      <c r="F165" s="19"/>
      <c r="G165" s="19"/>
      <c r="J165" s="8"/>
      <c r="K165" s="30"/>
      <c r="L165" s="30"/>
      <c r="M165" s="30"/>
      <c r="N165" s="30"/>
      <c r="O165" s="30"/>
      <c r="P165" s="30"/>
      <c r="Q165" s="30"/>
      <c r="R165" s="30"/>
      <c r="S165" s="30"/>
      <c r="T165" s="30"/>
      <c r="U165" s="33"/>
      <c r="V165" s="30"/>
      <c r="W165" s="30"/>
      <c r="X165" s="30"/>
      <c r="Y165" s="30"/>
      <c r="AA165" s="19"/>
      <c r="AB165" s="19"/>
      <c r="AC165" s="19"/>
      <c r="AD165" s="19"/>
      <c r="AE165" s="19"/>
      <c r="AF165" s="37"/>
    </row>
    <row r="166" spans="1:32" s="3" customFormat="1" x14ac:dyDescent="0.25">
      <c r="A166" s="7"/>
      <c r="B166" s="8"/>
      <c r="C166" s="9"/>
      <c r="D166" s="8"/>
      <c r="E166" s="194"/>
      <c r="F166" s="19"/>
      <c r="G166" s="19"/>
      <c r="J166" s="8"/>
      <c r="K166" s="30"/>
      <c r="L166" s="30"/>
      <c r="M166" s="30"/>
      <c r="N166" s="30"/>
      <c r="O166" s="30"/>
      <c r="P166" s="30"/>
      <c r="Q166" s="30"/>
      <c r="R166" s="30"/>
      <c r="S166" s="30"/>
      <c r="T166" s="30"/>
      <c r="U166" s="33"/>
      <c r="V166" s="30"/>
      <c r="W166" s="30"/>
      <c r="X166" s="30"/>
      <c r="Y166" s="30"/>
      <c r="AA166" s="19"/>
      <c r="AB166" s="19"/>
      <c r="AC166" s="19"/>
      <c r="AD166" s="19"/>
      <c r="AE166" s="19"/>
      <c r="AF166" s="37"/>
    </row>
    <row r="167" spans="1:32" s="3" customFormat="1" x14ac:dyDescent="0.25">
      <c r="A167" s="7"/>
      <c r="B167" s="8"/>
      <c r="C167" s="9"/>
      <c r="D167" s="8"/>
      <c r="E167" s="194"/>
      <c r="F167" s="19"/>
      <c r="G167" s="19"/>
      <c r="J167" s="8"/>
      <c r="K167" s="30"/>
      <c r="L167" s="30"/>
      <c r="M167" s="30"/>
      <c r="N167" s="30"/>
      <c r="O167" s="30"/>
      <c r="P167" s="30"/>
      <c r="Q167" s="30"/>
      <c r="R167" s="30"/>
      <c r="S167" s="30"/>
      <c r="T167" s="30"/>
      <c r="U167" s="33"/>
      <c r="V167" s="30"/>
      <c r="W167" s="30"/>
      <c r="X167" s="30"/>
      <c r="Y167" s="30"/>
      <c r="AA167" s="19"/>
      <c r="AB167" s="19"/>
      <c r="AC167" s="19"/>
      <c r="AD167" s="19"/>
      <c r="AE167" s="19"/>
      <c r="AF167" s="37"/>
    </row>
    <row r="168" spans="1:32" s="3" customFormat="1" x14ac:dyDescent="0.25">
      <c r="A168" s="7"/>
      <c r="B168" s="8"/>
      <c r="C168" s="9"/>
      <c r="D168" s="8"/>
      <c r="E168" s="194"/>
      <c r="F168" s="19"/>
      <c r="G168" s="19"/>
      <c r="J168" s="8"/>
      <c r="K168" s="30"/>
      <c r="L168" s="30"/>
      <c r="M168" s="30"/>
      <c r="N168" s="30"/>
      <c r="O168" s="30"/>
      <c r="P168" s="30"/>
      <c r="Q168" s="30"/>
      <c r="R168" s="30"/>
      <c r="S168" s="30"/>
      <c r="T168" s="30"/>
      <c r="U168" s="33"/>
      <c r="V168" s="30"/>
      <c r="W168" s="30"/>
      <c r="X168" s="30"/>
      <c r="Y168" s="30"/>
      <c r="AA168" s="19"/>
      <c r="AB168" s="19"/>
      <c r="AC168" s="19"/>
      <c r="AD168" s="19"/>
      <c r="AE168" s="19"/>
      <c r="AF168" s="37"/>
    </row>
    <row r="169" spans="1:32" s="3" customFormat="1" x14ac:dyDescent="0.25">
      <c r="A169" s="7"/>
      <c r="B169" s="8"/>
      <c r="C169" s="9"/>
      <c r="D169" s="8"/>
      <c r="E169" s="194"/>
      <c r="F169" s="19"/>
      <c r="G169" s="19"/>
      <c r="J169" s="8"/>
      <c r="K169" s="30"/>
      <c r="L169" s="30"/>
      <c r="M169" s="30"/>
      <c r="N169" s="30"/>
      <c r="O169" s="30"/>
      <c r="P169" s="30"/>
      <c r="Q169" s="30"/>
      <c r="R169" s="30"/>
      <c r="S169" s="30"/>
      <c r="T169" s="30"/>
      <c r="U169" s="33"/>
      <c r="V169" s="30"/>
      <c r="W169" s="30"/>
      <c r="X169" s="30"/>
      <c r="Y169" s="30"/>
      <c r="AA169" s="19"/>
      <c r="AB169" s="19"/>
      <c r="AC169" s="19"/>
      <c r="AD169" s="19"/>
      <c r="AE169" s="19"/>
      <c r="AF169" s="37"/>
    </row>
    <row r="170" spans="1:32" s="3" customFormat="1" x14ac:dyDescent="0.25">
      <c r="A170" s="7"/>
      <c r="B170" s="8"/>
      <c r="C170" s="9"/>
      <c r="D170" s="8"/>
      <c r="E170" s="194"/>
      <c r="F170" s="19"/>
      <c r="G170" s="19"/>
      <c r="J170" s="8"/>
      <c r="K170" s="30"/>
      <c r="L170" s="30"/>
      <c r="M170" s="30"/>
      <c r="N170" s="30"/>
      <c r="O170" s="30"/>
      <c r="P170" s="30"/>
      <c r="Q170" s="30"/>
      <c r="R170" s="30"/>
      <c r="S170" s="30"/>
      <c r="T170" s="30"/>
      <c r="U170" s="33"/>
      <c r="V170" s="30"/>
      <c r="W170" s="30"/>
      <c r="X170" s="30"/>
      <c r="Y170" s="30"/>
      <c r="AA170" s="19"/>
      <c r="AB170" s="19"/>
      <c r="AC170" s="19"/>
      <c r="AD170" s="19"/>
      <c r="AE170" s="19"/>
      <c r="AF170" s="37"/>
    </row>
    <row r="171" spans="1:32" s="3" customFormat="1" x14ac:dyDescent="0.25">
      <c r="A171" s="7"/>
      <c r="B171" s="8"/>
      <c r="C171" s="9"/>
      <c r="D171" s="8"/>
      <c r="E171" s="194"/>
      <c r="F171" s="19"/>
      <c r="G171" s="19"/>
      <c r="J171" s="8"/>
      <c r="K171" s="30"/>
      <c r="L171" s="30"/>
      <c r="M171" s="30"/>
      <c r="N171" s="30"/>
      <c r="O171" s="30"/>
      <c r="P171" s="30"/>
      <c r="Q171" s="30"/>
      <c r="R171" s="30"/>
      <c r="S171" s="30"/>
      <c r="T171" s="30"/>
      <c r="U171" s="33"/>
      <c r="V171" s="30"/>
      <c r="W171" s="30"/>
      <c r="X171" s="30"/>
      <c r="Y171" s="30"/>
      <c r="AA171" s="19"/>
      <c r="AB171" s="19"/>
      <c r="AC171" s="19"/>
      <c r="AD171" s="19"/>
      <c r="AE171" s="19"/>
      <c r="AF171" s="37"/>
    </row>
    <row r="172" spans="1:32" s="3" customFormat="1" x14ac:dyDescent="0.25">
      <c r="A172" s="7"/>
      <c r="B172" s="8"/>
      <c r="C172" s="9"/>
      <c r="D172" s="8"/>
      <c r="E172" s="194"/>
      <c r="F172" s="19"/>
      <c r="G172" s="19"/>
      <c r="J172" s="8"/>
      <c r="K172" s="30"/>
      <c r="L172" s="30"/>
      <c r="M172" s="30"/>
      <c r="N172" s="30"/>
      <c r="O172" s="30"/>
      <c r="P172" s="30"/>
      <c r="Q172" s="30"/>
      <c r="R172" s="30"/>
      <c r="S172" s="30"/>
      <c r="T172" s="30"/>
      <c r="U172" s="33"/>
      <c r="V172" s="30"/>
      <c r="W172" s="30"/>
      <c r="X172" s="30"/>
      <c r="Y172" s="30"/>
      <c r="AA172" s="19"/>
      <c r="AB172" s="19"/>
      <c r="AC172" s="19"/>
      <c r="AD172" s="19"/>
      <c r="AE172" s="19"/>
      <c r="AF172" s="37"/>
    </row>
    <row r="173" spans="1:32" s="3" customFormat="1" x14ac:dyDescent="0.25">
      <c r="A173" s="7"/>
      <c r="B173" s="8"/>
      <c r="C173" s="9"/>
      <c r="D173" s="8"/>
      <c r="E173" s="194"/>
      <c r="F173" s="19"/>
      <c r="G173" s="19"/>
      <c r="J173" s="8"/>
      <c r="K173" s="30"/>
      <c r="L173" s="30"/>
      <c r="M173" s="30"/>
      <c r="N173" s="30"/>
      <c r="O173" s="30"/>
      <c r="P173" s="30"/>
      <c r="Q173" s="30"/>
      <c r="R173" s="30"/>
      <c r="S173" s="30"/>
      <c r="T173" s="30"/>
      <c r="U173" s="33"/>
      <c r="V173" s="30"/>
      <c r="W173" s="30"/>
      <c r="X173" s="30"/>
      <c r="Y173" s="30"/>
      <c r="AA173" s="19"/>
      <c r="AB173" s="19"/>
      <c r="AC173" s="19"/>
      <c r="AD173" s="19"/>
      <c r="AE173" s="19"/>
      <c r="AF173" s="37"/>
    </row>
    <row r="174" spans="1:32" s="3" customFormat="1" x14ac:dyDescent="0.25">
      <c r="A174" s="7"/>
      <c r="B174" s="8"/>
      <c r="C174" s="9"/>
      <c r="D174" s="8"/>
      <c r="E174" s="194"/>
      <c r="F174" s="19"/>
      <c r="G174" s="19"/>
      <c r="J174" s="8"/>
      <c r="K174" s="30"/>
      <c r="L174" s="30"/>
      <c r="M174" s="30"/>
      <c r="N174" s="30"/>
      <c r="O174" s="30"/>
      <c r="P174" s="30"/>
      <c r="Q174" s="30"/>
      <c r="R174" s="30"/>
      <c r="S174" s="30"/>
      <c r="T174" s="30"/>
      <c r="U174" s="33"/>
      <c r="V174" s="30"/>
      <c r="W174" s="30"/>
      <c r="X174" s="30"/>
      <c r="Y174" s="30"/>
      <c r="AA174" s="19"/>
      <c r="AB174" s="19"/>
      <c r="AC174" s="19"/>
      <c r="AD174" s="19"/>
      <c r="AE174" s="19"/>
      <c r="AF174" s="37"/>
    </row>
    <row r="175" spans="1:32" s="3" customFormat="1" x14ac:dyDescent="0.25">
      <c r="A175" s="7"/>
      <c r="B175" s="8"/>
      <c r="C175" s="9"/>
      <c r="D175" s="8"/>
      <c r="E175" s="194"/>
      <c r="F175" s="19"/>
      <c r="G175" s="19"/>
      <c r="J175" s="8"/>
      <c r="K175" s="30"/>
      <c r="L175" s="30"/>
      <c r="M175" s="30"/>
      <c r="N175" s="30"/>
      <c r="O175" s="30"/>
      <c r="P175" s="30"/>
      <c r="Q175" s="30"/>
      <c r="R175" s="30"/>
      <c r="S175" s="30"/>
      <c r="T175" s="30"/>
      <c r="U175" s="33"/>
      <c r="V175" s="30"/>
      <c r="W175" s="30"/>
      <c r="X175" s="30"/>
      <c r="Y175" s="30"/>
      <c r="AA175" s="19"/>
      <c r="AB175" s="19"/>
      <c r="AC175" s="19"/>
      <c r="AD175" s="19"/>
      <c r="AE175" s="19"/>
      <c r="AF175" s="37"/>
    </row>
    <row r="176" spans="1:32" s="3" customFormat="1" x14ac:dyDescent="0.25">
      <c r="A176" s="7"/>
      <c r="B176" s="8"/>
      <c r="C176" s="9"/>
      <c r="D176" s="8"/>
      <c r="E176" s="194"/>
      <c r="F176" s="19"/>
      <c r="G176" s="19"/>
      <c r="J176" s="8"/>
      <c r="K176" s="30"/>
      <c r="L176" s="30"/>
      <c r="M176" s="30"/>
      <c r="N176" s="30"/>
      <c r="O176" s="30"/>
      <c r="P176" s="30"/>
      <c r="Q176" s="30"/>
      <c r="R176" s="30"/>
      <c r="S176" s="30"/>
      <c r="T176" s="30"/>
      <c r="U176" s="33"/>
      <c r="V176" s="30"/>
      <c r="W176" s="30"/>
      <c r="X176" s="30"/>
      <c r="Y176" s="30"/>
      <c r="AA176" s="19"/>
      <c r="AB176" s="19"/>
      <c r="AC176" s="19"/>
      <c r="AD176" s="19"/>
      <c r="AE176" s="19"/>
      <c r="AF176" s="37"/>
    </row>
    <row r="177" spans="1:32" s="3" customFormat="1" x14ac:dyDescent="0.25">
      <c r="A177" s="7"/>
      <c r="B177" s="8"/>
      <c r="C177" s="9"/>
      <c r="D177" s="8"/>
      <c r="E177" s="194"/>
      <c r="F177" s="19"/>
      <c r="G177" s="19"/>
      <c r="J177" s="8"/>
      <c r="K177" s="30"/>
      <c r="L177" s="30"/>
      <c r="M177" s="30"/>
      <c r="N177" s="30"/>
      <c r="O177" s="30"/>
      <c r="P177" s="30"/>
      <c r="Q177" s="30"/>
      <c r="R177" s="30"/>
      <c r="S177" s="30"/>
      <c r="T177" s="30"/>
      <c r="U177" s="33"/>
      <c r="V177" s="30"/>
      <c r="W177" s="30"/>
      <c r="X177" s="30"/>
      <c r="Y177" s="30"/>
      <c r="AA177" s="19"/>
      <c r="AB177" s="19"/>
      <c r="AC177" s="19"/>
      <c r="AD177" s="19"/>
      <c r="AE177" s="19"/>
      <c r="AF177" s="37"/>
    </row>
    <row r="178" spans="1:32" s="3" customFormat="1" x14ac:dyDescent="0.25">
      <c r="A178" s="7"/>
      <c r="B178" s="8"/>
      <c r="C178" s="9"/>
      <c r="D178" s="8"/>
      <c r="E178" s="194"/>
      <c r="F178" s="19"/>
      <c r="G178" s="19"/>
      <c r="J178" s="8"/>
      <c r="K178" s="30"/>
      <c r="L178" s="30"/>
      <c r="M178" s="30"/>
      <c r="N178" s="30"/>
      <c r="O178" s="30"/>
      <c r="P178" s="30"/>
      <c r="Q178" s="30"/>
      <c r="R178" s="30"/>
      <c r="S178" s="30"/>
      <c r="T178" s="30"/>
      <c r="U178" s="33"/>
      <c r="V178" s="30"/>
      <c r="W178" s="30"/>
      <c r="X178" s="30"/>
      <c r="Y178" s="30"/>
      <c r="AA178" s="19"/>
      <c r="AB178" s="19"/>
      <c r="AC178" s="19"/>
      <c r="AD178" s="19"/>
      <c r="AE178" s="19"/>
      <c r="AF178" s="37"/>
    </row>
    <row r="179" spans="1:32" s="3" customFormat="1" x14ac:dyDescent="0.25">
      <c r="A179" s="7"/>
      <c r="B179" s="8"/>
      <c r="C179" s="9"/>
      <c r="D179" s="8"/>
      <c r="E179" s="194"/>
      <c r="F179" s="19"/>
      <c r="G179" s="19"/>
      <c r="J179" s="8"/>
      <c r="K179" s="30"/>
      <c r="L179" s="30"/>
      <c r="M179" s="30"/>
      <c r="N179" s="30"/>
      <c r="O179" s="30"/>
      <c r="P179" s="30"/>
      <c r="Q179" s="30"/>
      <c r="R179" s="30"/>
      <c r="S179" s="30"/>
      <c r="T179" s="30"/>
      <c r="U179" s="33"/>
      <c r="V179" s="30"/>
      <c r="W179" s="30"/>
      <c r="X179" s="30"/>
      <c r="Y179" s="30"/>
      <c r="AA179" s="19"/>
      <c r="AB179" s="19"/>
      <c r="AC179" s="19"/>
      <c r="AD179" s="19"/>
      <c r="AE179" s="19"/>
      <c r="AF179" s="37"/>
    </row>
    <row r="180" spans="1:32" s="3" customFormat="1" x14ac:dyDescent="0.25">
      <c r="A180" s="7"/>
      <c r="B180" s="8"/>
      <c r="C180" s="9"/>
      <c r="D180" s="8"/>
      <c r="E180" s="194"/>
      <c r="F180" s="19"/>
      <c r="G180" s="19"/>
      <c r="J180" s="8"/>
      <c r="K180" s="30"/>
      <c r="L180" s="30"/>
      <c r="M180" s="30"/>
      <c r="N180" s="30"/>
      <c r="O180" s="30"/>
      <c r="P180" s="30"/>
      <c r="Q180" s="30"/>
      <c r="R180" s="30"/>
      <c r="S180" s="30"/>
      <c r="T180" s="30"/>
      <c r="U180" s="33"/>
      <c r="V180" s="30"/>
      <c r="W180" s="30"/>
      <c r="X180" s="30"/>
      <c r="Y180" s="30"/>
      <c r="AA180" s="19"/>
      <c r="AB180" s="19"/>
      <c r="AC180" s="19"/>
      <c r="AD180" s="19"/>
      <c r="AE180" s="19"/>
      <c r="AF180" s="37"/>
    </row>
    <row r="181" spans="1:32" s="3" customFormat="1" x14ac:dyDescent="0.25">
      <c r="A181" s="7"/>
      <c r="B181" s="8"/>
      <c r="C181" s="9"/>
      <c r="D181" s="8"/>
      <c r="E181" s="194"/>
      <c r="F181" s="19"/>
      <c r="G181" s="19"/>
      <c r="J181" s="8"/>
      <c r="K181" s="30"/>
      <c r="L181" s="30"/>
      <c r="M181" s="30"/>
      <c r="N181" s="30"/>
      <c r="O181" s="30"/>
      <c r="P181" s="30"/>
      <c r="Q181" s="30"/>
      <c r="R181" s="30"/>
      <c r="S181" s="30"/>
      <c r="T181" s="30"/>
      <c r="U181" s="33"/>
      <c r="V181" s="30"/>
      <c r="W181" s="30"/>
      <c r="X181" s="30"/>
      <c r="Y181" s="30"/>
      <c r="AA181" s="19"/>
      <c r="AB181" s="19"/>
      <c r="AC181" s="19"/>
      <c r="AD181" s="19"/>
      <c r="AE181" s="19"/>
      <c r="AF181" s="37"/>
    </row>
    <row r="182" spans="1:32" s="3" customFormat="1" x14ac:dyDescent="0.25">
      <c r="A182" s="7"/>
      <c r="B182" s="8"/>
      <c r="C182" s="9"/>
      <c r="D182" s="8"/>
      <c r="E182" s="194"/>
      <c r="F182" s="19"/>
      <c r="G182" s="19"/>
      <c r="J182" s="8"/>
      <c r="K182" s="30"/>
      <c r="L182" s="30"/>
      <c r="M182" s="30"/>
      <c r="N182" s="30"/>
      <c r="O182" s="30"/>
      <c r="P182" s="30"/>
      <c r="Q182" s="30"/>
      <c r="R182" s="30"/>
      <c r="S182" s="30"/>
      <c r="T182" s="30"/>
      <c r="U182" s="33"/>
      <c r="V182" s="30"/>
      <c r="W182" s="30"/>
      <c r="X182" s="30"/>
      <c r="Y182" s="30"/>
      <c r="AA182" s="19"/>
      <c r="AB182" s="19"/>
      <c r="AC182" s="19"/>
      <c r="AD182" s="19"/>
      <c r="AE182" s="19"/>
      <c r="AF182" s="37"/>
    </row>
    <row r="183" spans="1:32" s="3" customFormat="1" x14ac:dyDescent="0.25">
      <c r="A183" s="7"/>
      <c r="B183" s="8"/>
      <c r="C183" s="9"/>
      <c r="D183" s="8"/>
      <c r="E183" s="194"/>
      <c r="F183" s="19"/>
      <c r="G183" s="19"/>
      <c r="J183" s="8"/>
      <c r="K183" s="30"/>
      <c r="L183" s="30"/>
      <c r="M183" s="30"/>
      <c r="N183" s="30"/>
      <c r="O183" s="30"/>
      <c r="P183" s="30"/>
      <c r="Q183" s="30"/>
      <c r="R183" s="30"/>
      <c r="S183" s="30"/>
      <c r="T183" s="30"/>
      <c r="U183" s="33"/>
      <c r="V183" s="30"/>
      <c r="W183" s="30"/>
      <c r="X183" s="30"/>
      <c r="Y183" s="30"/>
      <c r="AA183" s="19"/>
      <c r="AB183" s="19"/>
      <c r="AC183" s="19"/>
      <c r="AD183" s="19"/>
      <c r="AE183" s="19"/>
      <c r="AF183" s="37"/>
    </row>
    <row r="184" spans="1:32" s="3" customFormat="1" x14ac:dyDescent="0.25">
      <c r="A184" s="7"/>
      <c r="B184" s="8"/>
      <c r="C184" s="9"/>
      <c r="D184" s="8"/>
      <c r="E184" s="194"/>
      <c r="F184" s="19"/>
      <c r="G184" s="19"/>
      <c r="J184" s="8"/>
      <c r="K184" s="30"/>
      <c r="L184" s="30"/>
      <c r="M184" s="30"/>
      <c r="N184" s="30"/>
      <c r="O184" s="30"/>
      <c r="P184" s="30"/>
      <c r="Q184" s="30"/>
      <c r="R184" s="30"/>
      <c r="S184" s="30"/>
      <c r="T184" s="30"/>
      <c r="U184" s="33"/>
      <c r="V184" s="30"/>
      <c r="W184" s="30"/>
      <c r="X184" s="30"/>
      <c r="Y184" s="30"/>
      <c r="AA184" s="19"/>
      <c r="AB184" s="19"/>
      <c r="AC184" s="19"/>
      <c r="AD184" s="19"/>
      <c r="AE184" s="19"/>
      <c r="AF184" s="37"/>
    </row>
    <row r="185" spans="1:32" s="3" customFormat="1" x14ac:dyDescent="0.25">
      <c r="A185" s="7"/>
      <c r="B185" s="8"/>
      <c r="C185" s="9"/>
      <c r="D185" s="8"/>
      <c r="E185" s="194"/>
      <c r="F185" s="19"/>
      <c r="G185" s="19"/>
      <c r="J185" s="8"/>
      <c r="K185" s="30"/>
      <c r="L185" s="30"/>
      <c r="M185" s="30"/>
      <c r="N185" s="30"/>
      <c r="O185" s="30"/>
      <c r="P185" s="30"/>
      <c r="Q185" s="30"/>
      <c r="R185" s="30"/>
      <c r="S185" s="30"/>
      <c r="T185" s="30"/>
      <c r="U185" s="33"/>
      <c r="V185" s="30"/>
      <c r="W185" s="30"/>
      <c r="X185" s="30"/>
      <c r="Y185" s="30"/>
      <c r="AA185" s="19"/>
      <c r="AB185" s="19"/>
      <c r="AC185" s="19"/>
      <c r="AD185" s="19"/>
      <c r="AE185" s="19"/>
      <c r="AF185" s="37"/>
    </row>
    <row r="186" spans="1:32" s="3" customFormat="1" x14ac:dyDescent="0.25">
      <c r="A186" s="7"/>
      <c r="B186" s="8"/>
      <c r="C186" s="9"/>
      <c r="D186" s="8"/>
      <c r="E186" s="194"/>
      <c r="F186" s="19"/>
      <c r="G186" s="19"/>
      <c r="J186" s="8"/>
      <c r="K186" s="30"/>
      <c r="L186" s="30"/>
      <c r="M186" s="30"/>
      <c r="N186" s="30"/>
      <c r="O186" s="30"/>
      <c r="P186" s="30"/>
      <c r="Q186" s="30"/>
      <c r="R186" s="30"/>
      <c r="S186" s="30"/>
      <c r="T186" s="30"/>
      <c r="U186" s="33"/>
      <c r="V186" s="30"/>
      <c r="W186" s="30"/>
      <c r="X186" s="30"/>
      <c r="Y186" s="30"/>
      <c r="AA186" s="19"/>
      <c r="AB186" s="19"/>
      <c r="AC186" s="19"/>
      <c r="AD186" s="19"/>
      <c r="AE186" s="19"/>
      <c r="AF186" s="37"/>
    </row>
    <row r="187" spans="1:32" s="3" customFormat="1" x14ac:dyDescent="0.25">
      <c r="A187" s="7"/>
      <c r="B187" s="8"/>
      <c r="C187" s="9"/>
      <c r="D187" s="8"/>
      <c r="E187" s="194"/>
      <c r="F187" s="19"/>
      <c r="G187" s="19"/>
      <c r="J187" s="8"/>
      <c r="K187" s="30"/>
      <c r="L187" s="30"/>
      <c r="M187" s="30"/>
      <c r="N187" s="30"/>
      <c r="O187" s="30"/>
      <c r="P187" s="30"/>
      <c r="Q187" s="30"/>
      <c r="R187" s="30"/>
      <c r="S187" s="30"/>
      <c r="T187" s="30"/>
      <c r="U187" s="33"/>
      <c r="V187" s="30"/>
      <c r="W187" s="30"/>
      <c r="X187" s="30"/>
      <c r="Y187" s="30"/>
      <c r="AA187" s="19"/>
      <c r="AB187" s="19"/>
      <c r="AC187" s="19"/>
      <c r="AD187" s="19"/>
      <c r="AE187" s="19"/>
      <c r="AF187" s="37"/>
    </row>
    <row r="188" spans="1:32" s="3" customFormat="1" x14ac:dyDescent="0.25">
      <c r="A188" s="7"/>
      <c r="B188" s="8"/>
      <c r="C188" s="9"/>
      <c r="D188" s="8"/>
      <c r="E188" s="194"/>
      <c r="F188" s="19"/>
      <c r="G188" s="19"/>
      <c r="J188" s="8"/>
      <c r="K188" s="30"/>
      <c r="L188" s="30"/>
      <c r="M188" s="30"/>
      <c r="N188" s="30"/>
      <c r="O188" s="30"/>
      <c r="P188" s="30"/>
      <c r="Q188" s="30"/>
      <c r="R188" s="30"/>
      <c r="S188" s="30"/>
      <c r="T188" s="30"/>
      <c r="U188" s="33"/>
      <c r="V188" s="30"/>
      <c r="W188" s="30"/>
      <c r="X188" s="30"/>
      <c r="Y188" s="30"/>
      <c r="AA188" s="19"/>
      <c r="AB188" s="19"/>
      <c r="AC188" s="19"/>
      <c r="AD188" s="19"/>
      <c r="AE188" s="19"/>
      <c r="AF188" s="37"/>
    </row>
    <row r="189" spans="1:32" s="3" customFormat="1" x14ac:dyDescent="0.25">
      <c r="A189" s="7"/>
      <c r="B189" s="8"/>
      <c r="C189" s="9"/>
      <c r="D189" s="8"/>
      <c r="E189" s="194"/>
      <c r="F189" s="19"/>
      <c r="G189" s="19"/>
      <c r="J189" s="8"/>
      <c r="K189" s="30"/>
      <c r="L189" s="30"/>
      <c r="M189" s="30"/>
      <c r="N189" s="30"/>
      <c r="O189" s="30"/>
      <c r="P189" s="30"/>
      <c r="Q189" s="30"/>
      <c r="R189" s="30"/>
      <c r="S189" s="30"/>
      <c r="T189" s="30"/>
      <c r="U189" s="33"/>
      <c r="V189" s="30"/>
      <c r="W189" s="30"/>
      <c r="X189" s="30"/>
      <c r="Y189" s="30"/>
      <c r="AA189" s="19"/>
      <c r="AB189" s="19"/>
      <c r="AC189" s="19"/>
      <c r="AD189" s="19"/>
      <c r="AE189" s="19"/>
      <c r="AF189" s="37"/>
    </row>
    <row r="190" spans="1:32" s="3" customFormat="1" x14ac:dyDescent="0.25">
      <c r="A190" s="7"/>
      <c r="B190" s="8"/>
      <c r="C190" s="9"/>
      <c r="D190" s="8"/>
      <c r="E190" s="194"/>
      <c r="F190" s="19"/>
      <c r="G190" s="19"/>
      <c r="J190" s="8"/>
      <c r="K190" s="30"/>
      <c r="L190" s="30"/>
      <c r="M190" s="30"/>
      <c r="N190" s="30"/>
      <c r="O190" s="30"/>
      <c r="P190" s="30"/>
      <c r="Q190" s="30"/>
      <c r="R190" s="30"/>
      <c r="S190" s="30"/>
      <c r="T190" s="30"/>
      <c r="U190" s="33"/>
      <c r="V190" s="30"/>
      <c r="W190" s="30"/>
      <c r="X190" s="30"/>
      <c r="Y190" s="30"/>
      <c r="AA190" s="19"/>
      <c r="AB190" s="19"/>
      <c r="AC190" s="19"/>
      <c r="AD190" s="19"/>
      <c r="AE190" s="19"/>
      <c r="AF190" s="37"/>
    </row>
    <row r="191" spans="1:32" s="3" customFormat="1" x14ac:dyDescent="0.25">
      <c r="A191" s="7"/>
      <c r="B191" s="8"/>
      <c r="C191" s="9"/>
      <c r="D191" s="8"/>
      <c r="E191" s="194"/>
      <c r="F191" s="19"/>
      <c r="G191" s="19"/>
      <c r="J191" s="8"/>
      <c r="K191" s="30"/>
      <c r="L191" s="30"/>
      <c r="M191" s="30"/>
      <c r="N191" s="30"/>
      <c r="O191" s="30"/>
      <c r="P191" s="30"/>
      <c r="Q191" s="30"/>
      <c r="R191" s="30"/>
      <c r="S191" s="30"/>
      <c r="T191" s="30"/>
      <c r="U191" s="33"/>
      <c r="V191" s="30"/>
      <c r="W191" s="30"/>
      <c r="X191" s="30"/>
      <c r="Y191" s="30"/>
      <c r="AA191" s="19"/>
      <c r="AB191" s="19"/>
      <c r="AC191" s="19"/>
      <c r="AD191" s="19"/>
      <c r="AE191" s="19"/>
      <c r="AF191" s="37"/>
    </row>
    <row r="192" spans="1:32" s="3" customFormat="1" x14ac:dyDescent="0.25">
      <c r="A192" s="7"/>
      <c r="B192" s="8"/>
      <c r="C192" s="9"/>
      <c r="D192" s="8"/>
      <c r="E192" s="194"/>
      <c r="F192" s="19"/>
      <c r="G192" s="19"/>
      <c r="J192" s="8"/>
      <c r="K192" s="30"/>
      <c r="L192" s="30"/>
      <c r="M192" s="30"/>
      <c r="N192" s="30"/>
      <c r="O192" s="30"/>
      <c r="P192" s="30"/>
      <c r="Q192" s="30"/>
      <c r="R192" s="30"/>
      <c r="S192" s="30"/>
      <c r="T192" s="30"/>
      <c r="U192" s="33"/>
      <c r="V192" s="30"/>
      <c r="W192" s="30"/>
      <c r="X192" s="30"/>
      <c r="Y192" s="30"/>
      <c r="AA192" s="19"/>
      <c r="AB192" s="19"/>
      <c r="AC192" s="19"/>
      <c r="AD192" s="19"/>
      <c r="AE192" s="19"/>
      <c r="AF192" s="37"/>
    </row>
    <row r="193" spans="1:32" s="3" customFormat="1" x14ac:dyDescent="0.25">
      <c r="A193" s="7"/>
      <c r="B193" s="8"/>
      <c r="C193" s="9"/>
      <c r="D193" s="8"/>
      <c r="E193" s="194"/>
      <c r="F193" s="19"/>
      <c r="G193" s="19"/>
      <c r="J193" s="8"/>
      <c r="K193" s="30"/>
      <c r="L193" s="30"/>
      <c r="M193" s="30"/>
      <c r="N193" s="30"/>
      <c r="O193" s="30"/>
      <c r="P193" s="30"/>
      <c r="Q193" s="30"/>
      <c r="R193" s="30"/>
      <c r="S193" s="30"/>
      <c r="T193" s="30"/>
      <c r="U193" s="33"/>
      <c r="V193" s="30"/>
      <c r="W193" s="30"/>
      <c r="X193" s="30"/>
      <c r="Y193" s="30"/>
      <c r="AA193" s="19"/>
      <c r="AB193" s="19"/>
      <c r="AC193" s="19"/>
      <c r="AD193" s="19"/>
      <c r="AE193" s="19"/>
      <c r="AF193" s="37"/>
    </row>
    <row r="194" spans="1:32" s="3" customFormat="1" x14ac:dyDescent="0.25">
      <c r="A194" s="7"/>
      <c r="B194" s="8"/>
      <c r="C194" s="9"/>
      <c r="D194" s="8"/>
      <c r="E194" s="194"/>
      <c r="F194" s="19"/>
      <c r="G194" s="19"/>
      <c r="J194" s="8"/>
      <c r="K194" s="30"/>
      <c r="L194" s="30"/>
      <c r="M194" s="30"/>
      <c r="N194" s="30"/>
      <c r="O194" s="30"/>
      <c r="P194" s="30"/>
      <c r="Q194" s="30"/>
      <c r="R194" s="30"/>
      <c r="S194" s="30"/>
      <c r="T194" s="30"/>
      <c r="U194" s="33"/>
      <c r="V194" s="30"/>
      <c r="W194" s="30"/>
      <c r="X194" s="30"/>
      <c r="Y194" s="30"/>
      <c r="AA194" s="19"/>
      <c r="AB194" s="19"/>
      <c r="AC194" s="19"/>
      <c r="AD194" s="19"/>
      <c r="AE194" s="19"/>
      <c r="AF194" s="37"/>
    </row>
    <row r="195" spans="1:32" s="3" customFormat="1" x14ac:dyDescent="0.25">
      <c r="A195" s="7"/>
      <c r="B195" s="8"/>
      <c r="C195" s="9"/>
      <c r="D195" s="8"/>
      <c r="E195" s="194"/>
      <c r="F195" s="19"/>
      <c r="G195" s="19"/>
      <c r="J195" s="8"/>
      <c r="K195" s="30"/>
      <c r="L195" s="30"/>
      <c r="M195" s="30"/>
      <c r="N195" s="30"/>
      <c r="O195" s="30"/>
      <c r="P195" s="30"/>
      <c r="Q195" s="30"/>
      <c r="R195" s="30"/>
      <c r="S195" s="30"/>
      <c r="T195" s="30"/>
      <c r="U195" s="33"/>
      <c r="V195" s="30"/>
      <c r="W195" s="30"/>
      <c r="X195" s="30"/>
      <c r="Y195" s="30"/>
      <c r="AA195" s="19"/>
      <c r="AB195" s="19"/>
      <c r="AC195" s="19"/>
      <c r="AD195" s="19"/>
      <c r="AE195" s="19"/>
      <c r="AF195" s="37"/>
    </row>
    <row r="196" spans="1:32" s="3" customFormat="1" x14ac:dyDescent="0.25">
      <c r="A196" s="7"/>
      <c r="B196" s="8"/>
      <c r="C196" s="9"/>
      <c r="D196" s="8"/>
      <c r="E196" s="194"/>
      <c r="F196" s="19"/>
      <c r="G196" s="19"/>
      <c r="J196" s="8"/>
      <c r="K196" s="30"/>
      <c r="L196" s="30"/>
      <c r="M196" s="30"/>
      <c r="N196" s="30"/>
      <c r="O196" s="30"/>
      <c r="P196" s="30"/>
      <c r="Q196" s="30"/>
      <c r="R196" s="30"/>
      <c r="S196" s="30"/>
      <c r="T196" s="30"/>
      <c r="U196" s="33"/>
      <c r="V196" s="30"/>
      <c r="W196" s="30"/>
      <c r="X196" s="30"/>
      <c r="Y196" s="30"/>
      <c r="AA196" s="19"/>
      <c r="AB196" s="19"/>
      <c r="AC196" s="19"/>
      <c r="AD196" s="19"/>
      <c r="AE196" s="19"/>
      <c r="AF196" s="37"/>
    </row>
    <row r="197" spans="1:32" s="3" customFormat="1" x14ac:dyDescent="0.25">
      <c r="A197" s="7"/>
      <c r="B197" s="8"/>
      <c r="C197" s="9"/>
      <c r="D197" s="8"/>
      <c r="E197" s="194"/>
      <c r="F197" s="19"/>
      <c r="G197" s="19"/>
      <c r="J197" s="8"/>
      <c r="K197" s="30"/>
      <c r="L197" s="30"/>
      <c r="M197" s="30"/>
      <c r="N197" s="30"/>
      <c r="O197" s="30"/>
      <c r="P197" s="30"/>
      <c r="Q197" s="30"/>
      <c r="R197" s="30"/>
      <c r="S197" s="30"/>
      <c r="T197" s="30"/>
      <c r="U197" s="33"/>
      <c r="V197" s="30"/>
      <c r="W197" s="30"/>
      <c r="X197" s="30"/>
      <c r="Y197" s="30"/>
      <c r="AA197" s="19"/>
      <c r="AB197" s="19"/>
      <c r="AC197" s="19"/>
      <c r="AD197" s="19"/>
      <c r="AE197" s="19"/>
      <c r="AF197" s="37"/>
    </row>
    <row r="198" spans="1:32" s="3" customFormat="1" x14ac:dyDescent="0.25">
      <c r="A198" s="7"/>
      <c r="B198" s="8"/>
      <c r="C198" s="9"/>
      <c r="D198" s="8"/>
      <c r="E198" s="194"/>
      <c r="F198" s="19"/>
      <c r="G198" s="19"/>
      <c r="J198" s="8"/>
      <c r="K198" s="30"/>
      <c r="L198" s="30"/>
      <c r="M198" s="30"/>
      <c r="N198" s="30"/>
      <c r="O198" s="30"/>
      <c r="P198" s="30"/>
      <c r="Q198" s="30"/>
      <c r="R198" s="30"/>
      <c r="S198" s="30"/>
      <c r="T198" s="30"/>
      <c r="U198" s="33"/>
      <c r="V198" s="30"/>
      <c r="W198" s="30"/>
      <c r="X198" s="30"/>
      <c r="Y198" s="30"/>
      <c r="AA198" s="19"/>
      <c r="AB198" s="19"/>
      <c r="AC198" s="19"/>
      <c r="AD198" s="19"/>
      <c r="AE198" s="19"/>
      <c r="AF198" s="37"/>
    </row>
    <row r="199" spans="1:32" s="3" customFormat="1" x14ac:dyDescent="0.25">
      <c r="A199" s="7"/>
      <c r="B199" s="8"/>
      <c r="C199" s="9"/>
      <c r="D199" s="8"/>
      <c r="E199" s="194"/>
      <c r="F199" s="19"/>
      <c r="G199" s="19"/>
      <c r="J199" s="8"/>
      <c r="K199" s="30"/>
      <c r="L199" s="30"/>
      <c r="M199" s="30"/>
      <c r="N199" s="30"/>
      <c r="O199" s="30"/>
      <c r="P199" s="30"/>
      <c r="Q199" s="30"/>
      <c r="R199" s="30"/>
      <c r="S199" s="30"/>
      <c r="T199" s="30"/>
      <c r="U199" s="33"/>
      <c r="V199" s="30"/>
      <c r="W199" s="30"/>
      <c r="X199" s="30"/>
      <c r="Y199" s="30"/>
      <c r="AA199" s="19"/>
      <c r="AB199" s="19"/>
      <c r="AC199" s="19"/>
      <c r="AD199" s="19"/>
      <c r="AE199" s="19"/>
      <c r="AF199" s="37"/>
    </row>
    <row r="200" spans="1:32" s="3" customFormat="1" x14ac:dyDescent="0.25">
      <c r="A200" s="7"/>
      <c r="B200" s="8"/>
      <c r="C200" s="9"/>
      <c r="D200" s="8"/>
      <c r="E200" s="194"/>
      <c r="F200" s="19"/>
      <c r="G200" s="19"/>
      <c r="J200" s="8"/>
      <c r="K200" s="30"/>
      <c r="L200" s="30"/>
      <c r="M200" s="30"/>
      <c r="N200" s="30"/>
      <c r="O200" s="30"/>
      <c r="P200" s="30"/>
      <c r="Q200" s="30"/>
      <c r="R200" s="30"/>
      <c r="S200" s="30"/>
      <c r="T200" s="30"/>
      <c r="U200" s="33"/>
      <c r="V200" s="30"/>
      <c r="W200" s="30"/>
      <c r="X200" s="30"/>
      <c r="Y200" s="30"/>
      <c r="AA200" s="19"/>
      <c r="AB200" s="19"/>
      <c r="AC200" s="19"/>
      <c r="AD200" s="19"/>
      <c r="AE200" s="19"/>
      <c r="AF200" s="37"/>
    </row>
    <row r="201" spans="1:32" s="3" customFormat="1" x14ac:dyDescent="0.25">
      <c r="A201" s="7"/>
      <c r="B201" s="8"/>
      <c r="C201" s="9"/>
      <c r="D201" s="8"/>
      <c r="E201" s="194"/>
      <c r="F201" s="19"/>
      <c r="G201" s="19"/>
      <c r="J201" s="8"/>
      <c r="K201" s="30"/>
      <c r="L201" s="30"/>
      <c r="M201" s="30"/>
      <c r="N201" s="30"/>
      <c r="O201" s="30"/>
      <c r="P201" s="30"/>
      <c r="Q201" s="30"/>
      <c r="R201" s="30"/>
      <c r="S201" s="30"/>
      <c r="T201" s="30"/>
      <c r="U201" s="33"/>
      <c r="V201" s="30"/>
      <c r="W201" s="30"/>
      <c r="X201" s="30"/>
      <c r="Y201" s="30"/>
      <c r="AA201" s="19"/>
      <c r="AB201" s="19"/>
      <c r="AC201" s="19"/>
      <c r="AD201" s="19"/>
      <c r="AE201" s="19"/>
      <c r="AF201" s="37"/>
    </row>
    <row r="202" spans="1:32" s="3" customFormat="1" x14ac:dyDescent="0.25">
      <c r="A202" s="7"/>
      <c r="B202" s="8"/>
      <c r="C202" s="9"/>
      <c r="D202" s="8"/>
      <c r="E202" s="194"/>
      <c r="F202" s="19"/>
      <c r="G202" s="19"/>
      <c r="J202" s="8"/>
      <c r="K202" s="30"/>
      <c r="L202" s="30"/>
      <c r="M202" s="30"/>
      <c r="N202" s="30"/>
      <c r="O202" s="30"/>
      <c r="P202" s="30"/>
      <c r="Q202" s="30"/>
      <c r="R202" s="30"/>
      <c r="S202" s="30"/>
      <c r="T202" s="30"/>
      <c r="U202" s="33"/>
      <c r="V202" s="30"/>
      <c r="W202" s="30"/>
      <c r="X202" s="30"/>
      <c r="Y202" s="30"/>
      <c r="AA202" s="19"/>
      <c r="AB202" s="19"/>
      <c r="AC202" s="19"/>
      <c r="AD202" s="19"/>
      <c r="AE202" s="19"/>
      <c r="AF202" s="37"/>
    </row>
    <row r="203" spans="1:32" s="3" customFormat="1" x14ac:dyDescent="0.25">
      <c r="A203" s="7"/>
      <c r="B203" s="8"/>
      <c r="C203" s="9"/>
      <c r="D203" s="8"/>
      <c r="E203" s="194"/>
      <c r="F203" s="19"/>
      <c r="G203" s="19"/>
      <c r="J203" s="8"/>
      <c r="K203" s="30"/>
      <c r="L203" s="30"/>
      <c r="M203" s="30"/>
      <c r="N203" s="30"/>
      <c r="O203" s="30"/>
      <c r="P203" s="30"/>
      <c r="Q203" s="30"/>
      <c r="R203" s="30"/>
      <c r="S203" s="30"/>
      <c r="T203" s="30"/>
      <c r="U203" s="33"/>
      <c r="V203" s="30"/>
      <c r="W203" s="30"/>
      <c r="X203" s="30"/>
      <c r="Y203" s="30"/>
      <c r="AA203" s="19"/>
      <c r="AB203" s="19"/>
      <c r="AC203" s="19"/>
      <c r="AD203" s="19"/>
      <c r="AE203" s="19"/>
      <c r="AF203" s="37"/>
    </row>
    <row r="204" spans="1:32" s="3" customFormat="1" x14ac:dyDescent="0.25">
      <c r="A204" s="7"/>
      <c r="B204" s="8"/>
      <c r="C204" s="9"/>
      <c r="D204" s="8"/>
      <c r="E204" s="194"/>
      <c r="F204" s="19"/>
      <c r="G204" s="19"/>
      <c r="J204" s="8"/>
      <c r="K204" s="30"/>
      <c r="L204" s="30"/>
      <c r="M204" s="30"/>
      <c r="N204" s="30"/>
      <c r="O204" s="30"/>
      <c r="P204" s="30"/>
      <c r="Q204" s="30"/>
      <c r="R204" s="30"/>
      <c r="S204" s="30"/>
      <c r="T204" s="30"/>
      <c r="U204" s="33"/>
      <c r="V204" s="30"/>
      <c r="W204" s="30"/>
      <c r="X204" s="30"/>
      <c r="Y204" s="30"/>
      <c r="AA204" s="19"/>
      <c r="AB204" s="19"/>
      <c r="AC204" s="19"/>
      <c r="AD204" s="19"/>
      <c r="AE204" s="19"/>
      <c r="AF204" s="37"/>
    </row>
    <row r="205" spans="1:32" s="3" customFormat="1" x14ac:dyDescent="0.25">
      <c r="A205" s="7"/>
      <c r="B205" s="8"/>
      <c r="C205" s="9"/>
      <c r="D205" s="8"/>
      <c r="E205" s="194"/>
      <c r="F205" s="19"/>
      <c r="G205" s="19"/>
      <c r="J205" s="8"/>
      <c r="K205" s="30"/>
      <c r="L205" s="30"/>
      <c r="M205" s="30"/>
      <c r="N205" s="30"/>
      <c r="O205" s="30"/>
      <c r="P205" s="30"/>
      <c r="Q205" s="30"/>
      <c r="R205" s="30"/>
      <c r="S205" s="30"/>
      <c r="T205" s="30"/>
      <c r="U205" s="33"/>
      <c r="V205" s="30"/>
      <c r="W205" s="30"/>
      <c r="X205" s="30"/>
      <c r="Y205" s="30"/>
      <c r="AA205" s="19"/>
      <c r="AB205" s="19"/>
      <c r="AC205" s="19"/>
      <c r="AD205" s="19"/>
      <c r="AE205" s="19"/>
      <c r="AF205" s="37"/>
    </row>
    <row r="206" spans="1:32" s="3" customFormat="1" x14ac:dyDescent="0.25">
      <c r="A206" s="7"/>
      <c r="B206" s="8"/>
      <c r="C206" s="9"/>
      <c r="D206" s="8"/>
      <c r="E206" s="194"/>
      <c r="F206" s="19"/>
      <c r="G206" s="19"/>
      <c r="J206" s="8"/>
      <c r="K206" s="30"/>
      <c r="L206" s="30"/>
      <c r="M206" s="30"/>
      <c r="N206" s="30"/>
      <c r="O206" s="30"/>
      <c r="P206" s="30"/>
      <c r="Q206" s="30"/>
      <c r="R206" s="30"/>
      <c r="S206" s="30"/>
      <c r="T206" s="30"/>
      <c r="U206" s="33"/>
      <c r="V206" s="30"/>
      <c r="W206" s="30"/>
      <c r="X206" s="30"/>
      <c r="Y206" s="30"/>
      <c r="AA206" s="19"/>
      <c r="AB206" s="19"/>
      <c r="AC206" s="19"/>
      <c r="AD206" s="19"/>
      <c r="AE206" s="19"/>
      <c r="AF206" s="37"/>
    </row>
    <row r="207" spans="1:32" s="3" customFormat="1" x14ac:dyDescent="0.25">
      <c r="A207" s="7"/>
      <c r="B207" s="8"/>
      <c r="C207" s="9"/>
      <c r="D207" s="8"/>
      <c r="E207" s="194"/>
      <c r="F207" s="19"/>
      <c r="G207" s="19"/>
      <c r="J207" s="8"/>
      <c r="K207" s="30"/>
      <c r="L207" s="30"/>
      <c r="M207" s="30"/>
      <c r="N207" s="30"/>
      <c r="O207" s="30"/>
      <c r="P207" s="30"/>
      <c r="Q207" s="30"/>
      <c r="R207" s="30"/>
      <c r="S207" s="30"/>
      <c r="T207" s="30"/>
      <c r="U207" s="33"/>
      <c r="V207" s="30"/>
      <c r="W207" s="30"/>
      <c r="X207" s="30"/>
      <c r="Y207" s="30"/>
      <c r="AA207" s="19"/>
      <c r="AB207" s="19"/>
      <c r="AC207" s="19"/>
      <c r="AD207" s="19"/>
      <c r="AE207" s="19"/>
      <c r="AF207" s="37"/>
    </row>
    <row r="208" spans="1:32" s="3" customFormat="1" x14ac:dyDescent="0.25">
      <c r="A208" s="7"/>
      <c r="B208" s="8"/>
      <c r="C208" s="9"/>
      <c r="D208" s="8"/>
      <c r="E208" s="194"/>
      <c r="F208" s="19"/>
      <c r="G208" s="19"/>
      <c r="J208" s="8"/>
      <c r="K208" s="30"/>
      <c r="L208" s="30"/>
      <c r="M208" s="30"/>
      <c r="N208" s="30"/>
      <c r="O208" s="30"/>
      <c r="P208" s="30"/>
      <c r="Q208" s="30"/>
      <c r="R208" s="30"/>
      <c r="S208" s="30"/>
      <c r="T208" s="30"/>
      <c r="U208" s="33"/>
      <c r="V208" s="30"/>
      <c r="W208" s="30"/>
      <c r="X208" s="30"/>
      <c r="Y208" s="30"/>
      <c r="AA208" s="19"/>
      <c r="AB208" s="19"/>
      <c r="AC208" s="19"/>
      <c r="AD208" s="19"/>
      <c r="AE208" s="19"/>
      <c r="AF208" s="37"/>
    </row>
    <row r="209" spans="1:32" s="3" customFormat="1" x14ac:dyDescent="0.25">
      <c r="A209" s="7"/>
      <c r="B209" s="8"/>
      <c r="C209" s="9"/>
      <c r="D209" s="8"/>
      <c r="E209" s="194"/>
      <c r="F209" s="19"/>
      <c r="G209" s="19"/>
      <c r="J209" s="8"/>
      <c r="K209" s="30"/>
      <c r="L209" s="30"/>
      <c r="M209" s="30"/>
      <c r="N209" s="30"/>
      <c r="O209" s="30"/>
      <c r="P209" s="30"/>
      <c r="Q209" s="30"/>
      <c r="R209" s="30"/>
      <c r="S209" s="30"/>
      <c r="T209" s="30"/>
      <c r="U209" s="33"/>
      <c r="V209" s="30"/>
      <c r="W209" s="30"/>
      <c r="X209" s="30"/>
      <c r="Y209" s="30"/>
      <c r="AA209" s="19"/>
      <c r="AB209" s="19"/>
      <c r="AC209" s="19"/>
      <c r="AD209" s="19"/>
      <c r="AE209" s="19"/>
      <c r="AF209" s="37"/>
    </row>
    <row r="210" spans="1:32" s="3" customFormat="1" x14ac:dyDescent="0.25">
      <c r="A210" s="7"/>
      <c r="B210" s="8"/>
      <c r="C210" s="9"/>
      <c r="D210" s="8"/>
      <c r="E210" s="194"/>
      <c r="F210" s="19"/>
      <c r="G210" s="19"/>
      <c r="J210" s="8"/>
      <c r="K210" s="30"/>
      <c r="L210" s="30"/>
      <c r="M210" s="30"/>
      <c r="N210" s="30"/>
      <c r="O210" s="30"/>
      <c r="P210" s="30"/>
      <c r="Q210" s="30"/>
      <c r="R210" s="30"/>
      <c r="S210" s="30"/>
      <c r="T210" s="30"/>
      <c r="U210" s="33"/>
      <c r="V210" s="30"/>
      <c r="W210" s="30"/>
      <c r="X210" s="30"/>
      <c r="Y210" s="30"/>
      <c r="AA210" s="19"/>
      <c r="AB210" s="19"/>
      <c r="AC210" s="19"/>
      <c r="AD210" s="19"/>
      <c r="AE210" s="19"/>
      <c r="AF210" s="37"/>
    </row>
    <row r="211" spans="1:32" s="3" customFormat="1" x14ac:dyDescent="0.25">
      <c r="A211" s="7"/>
      <c r="B211" s="8"/>
      <c r="C211" s="9"/>
      <c r="D211" s="8"/>
      <c r="E211" s="194"/>
      <c r="F211" s="19"/>
      <c r="G211" s="19"/>
      <c r="J211" s="8"/>
      <c r="K211" s="30"/>
      <c r="L211" s="30"/>
      <c r="M211" s="30"/>
      <c r="N211" s="30"/>
      <c r="O211" s="30"/>
      <c r="P211" s="30"/>
      <c r="Q211" s="30"/>
      <c r="R211" s="30"/>
      <c r="S211" s="30"/>
      <c r="T211" s="30"/>
      <c r="U211" s="33"/>
      <c r="V211" s="30"/>
      <c r="W211" s="30"/>
      <c r="X211" s="30"/>
      <c r="Y211" s="30"/>
      <c r="AA211" s="19"/>
      <c r="AB211" s="19"/>
      <c r="AC211" s="19"/>
      <c r="AD211" s="19"/>
      <c r="AE211" s="19"/>
      <c r="AF211" s="37"/>
    </row>
    <row r="212" spans="1:32" s="3" customFormat="1" x14ac:dyDescent="0.25">
      <c r="A212" s="7"/>
      <c r="B212" s="8"/>
      <c r="C212" s="9"/>
      <c r="D212" s="8"/>
      <c r="E212" s="194"/>
      <c r="F212" s="19"/>
      <c r="G212" s="19"/>
      <c r="J212" s="8"/>
      <c r="K212" s="30"/>
      <c r="L212" s="30"/>
      <c r="M212" s="30"/>
      <c r="N212" s="30"/>
      <c r="O212" s="30"/>
      <c r="P212" s="30"/>
      <c r="Q212" s="30"/>
      <c r="R212" s="30"/>
      <c r="S212" s="30"/>
      <c r="T212" s="30"/>
      <c r="U212" s="33"/>
      <c r="V212" s="30"/>
      <c r="W212" s="30"/>
      <c r="X212" s="30"/>
      <c r="Y212" s="30"/>
      <c r="AA212" s="19"/>
      <c r="AB212" s="19"/>
      <c r="AC212" s="19"/>
      <c r="AD212" s="19"/>
      <c r="AE212" s="19"/>
      <c r="AF212" s="37"/>
    </row>
    <row r="213" spans="1:32" s="3" customFormat="1" x14ac:dyDescent="0.25">
      <c r="A213" s="7"/>
      <c r="B213" s="8"/>
      <c r="C213" s="9"/>
      <c r="D213" s="8"/>
      <c r="E213" s="194"/>
      <c r="F213" s="19"/>
      <c r="G213" s="19"/>
      <c r="J213" s="8"/>
      <c r="K213" s="30"/>
      <c r="L213" s="30"/>
      <c r="M213" s="30"/>
      <c r="N213" s="30"/>
      <c r="O213" s="30"/>
      <c r="P213" s="30"/>
      <c r="Q213" s="30"/>
      <c r="R213" s="30"/>
      <c r="S213" s="30"/>
      <c r="T213" s="30"/>
      <c r="U213" s="33"/>
      <c r="V213" s="30"/>
      <c r="W213" s="30"/>
      <c r="X213" s="30"/>
      <c r="Y213" s="30"/>
      <c r="AA213" s="19"/>
      <c r="AB213" s="19"/>
      <c r="AC213" s="19"/>
      <c r="AD213" s="19"/>
      <c r="AE213" s="19"/>
      <c r="AF213" s="37"/>
    </row>
    <row r="214" spans="1:32" s="3" customFormat="1" x14ac:dyDescent="0.25">
      <c r="A214" s="7"/>
      <c r="B214" s="8"/>
      <c r="C214" s="9"/>
      <c r="D214" s="8"/>
      <c r="E214" s="194"/>
      <c r="F214" s="19"/>
      <c r="G214" s="19"/>
      <c r="J214" s="8"/>
      <c r="K214" s="30"/>
      <c r="L214" s="30"/>
      <c r="M214" s="30"/>
      <c r="N214" s="30"/>
      <c r="O214" s="30"/>
      <c r="P214" s="30"/>
      <c r="Q214" s="30"/>
      <c r="R214" s="30"/>
      <c r="S214" s="30"/>
      <c r="T214" s="30"/>
      <c r="U214" s="33"/>
      <c r="V214" s="30"/>
      <c r="W214" s="30"/>
      <c r="X214" s="30"/>
      <c r="Y214" s="30"/>
      <c r="AA214" s="19"/>
      <c r="AB214" s="19"/>
      <c r="AC214" s="19"/>
      <c r="AD214" s="19"/>
      <c r="AE214" s="19"/>
      <c r="AF214" s="37"/>
    </row>
    <row r="215" spans="1:32" s="3" customFormat="1" x14ac:dyDescent="0.25">
      <c r="A215" s="7"/>
      <c r="B215" s="8"/>
      <c r="C215" s="9"/>
      <c r="D215" s="8"/>
      <c r="E215" s="194"/>
      <c r="F215" s="19"/>
      <c r="G215" s="19"/>
      <c r="J215" s="8"/>
      <c r="K215" s="30"/>
      <c r="L215" s="30"/>
      <c r="M215" s="30"/>
      <c r="N215" s="30"/>
      <c r="O215" s="30"/>
      <c r="P215" s="30"/>
      <c r="Q215" s="30"/>
      <c r="R215" s="30"/>
      <c r="S215" s="30"/>
      <c r="T215" s="30"/>
      <c r="U215" s="33"/>
      <c r="V215" s="30"/>
      <c r="W215" s="30"/>
      <c r="X215" s="30"/>
      <c r="Y215" s="30"/>
      <c r="AA215" s="19"/>
      <c r="AB215" s="19"/>
      <c r="AC215" s="19"/>
      <c r="AD215" s="19"/>
      <c r="AE215" s="19"/>
      <c r="AF215" s="37"/>
    </row>
    <row r="216" spans="1:32" s="3" customFormat="1" x14ac:dyDescent="0.25">
      <c r="A216" s="7"/>
      <c r="B216" s="8"/>
      <c r="C216" s="9"/>
      <c r="D216" s="8"/>
      <c r="E216" s="194"/>
      <c r="F216" s="19"/>
      <c r="G216" s="19"/>
      <c r="J216" s="8"/>
      <c r="K216" s="30"/>
      <c r="L216" s="30"/>
      <c r="M216" s="30"/>
      <c r="N216" s="30"/>
      <c r="O216" s="30"/>
      <c r="P216" s="30"/>
      <c r="Q216" s="30"/>
      <c r="R216" s="30"/>
      <c r="S216" s="30"/>
      <c r="T216" s="30"/>
      <c r="U216" s="33"/>
      <c r="V216" s="30"/>
      <c r="W216" s="30"/>
      <c r="X216" s="30"/>
      <c r="Y216" s="30"/>
      <c r="AA216" s="19"/>
      <c r="AB216" s="19"/>
      <c r="AC216" s="19"/>
      <c r="AD216" s="19"/>
      <c r="AE216" s="19"/>
      <c r="AF216" s="37"/>
    </row>
    <row r="217" spans="1:32" s="3" customFormat="1" x14ac:dyDescent="0.25">
      <c r="A217" s="7"/>
      <c r="B217" s="8"/>
      <c r="C217" s="9"/>
      <c r="D217" s="8"/>
      <c r="E217" s="194"/>
      <c r="F217" s="19"/>
      <c r="G217" s="19"/>
      <c r="J217" s="8"/>
      <c r="K217" s="30"/>
      <c r="L217" s="30"/>
      <c r="M217" s="30"/>
      <c r="N217" s="30"/>
      <c r="O217" s="30"/>
      <c r="P217" s="30"/>
      <c r="Q217" s="30"/>
      <c r="R217" s="30"/>
      <c r="S217" s="30"/>
      <c r="T217" s="30"/>
      <c r="U217" s="33"/>
      <c r="V217" s="30"/>
      <c r="W217" s="30"/>
      <c r="X217" s="30"/>
      <c r="Y217" s="30"/>
      <c r="AA217" s="19"/>
      <c r="AB217" s="19"/>
      <c r="AC217" s="19"/>
      <c r="AD217" s="19"/>
      <c r="AE217" s="19"/>
      <c r="AF217" s="37"/>
    </row>
    <row r="218" spans="1:32" s="3" customFormat="1" x14ac:dyDescent="0.25">
      <c r="A218" s="7"/>
      <c r="B218" s="8"/>
      <c r="C218" s="9"/>
      <c r="D218" s="8"/>
      <c r="E218" s="194"/>
      <c r="F218" s="19"/>
      <c r="G218" s="19"/>
      <c r="J218" s="8"/>
      <c r="K218" s="30"/>
      <c r="L218" s="30"/>
      <c r="M218" s="30"/>
      <c r="N218" s="30"/>
      <c r="O218" s="30"/>
      <c r="P218" s="30"/>
      <c r="Q218" s="30"/>
      <c r="R218" s="30"/>
      <c r="S218" s="30"/>
      <c r="T218" s="30"/>
      <c r="U218" s="33"/>
      <c r="V218" s="30"/>
      <c r="W218" s="30"/>
      <c r="X218" s="30"/>
      <c r="Y218" s="30"/>
      <c r="AA218" s="19"/>
      <c r="AB218" s="19"/>
      <c r="AC218" s="19"/>
      <c r="AD218" s="19"/>
      <c r="AE218" s="19"/>
      <c r="AF218" s="37"/>
    </row>
    <row r="219" spans="1:32" s="3" customFormat="1" x14ac:dyDescent="0.25">
      <c r="A219" s="7"/>
      <c r="B219" s="8"/>
      <c r="C219" s="9"/>
      <c r="D219" s="8"/>
      <c r="E219" s="194"/>
      <c r="F219" s="19"/>
      <c r="G219" s="19"/>
      <c r="J219" s="8"/>
      <c r="K219" s="30"/>
      <c r="L219" s="30"/>
      <c r="M219" s="30"/>
      <c r="N219" s="30"/>
      <c r="O219" s="30"/>
      <c r="P219" s="30"/>
      <c r="Q219" s="30"/>
      <c r="R219" s="30"/>
      <c r="S219" s="30"/>
      <c r="T219" s="30"/>
      <c r="U219" s="33"/>
      <c r="V219" s="30"/>
      <c r="W219" s="30"/>
      <c r="X219" s="30"/>
      <c r="Y219" s="30"/>
      <c r="AA219" s="19"/>
      <c r="AB219" s="19"/>
      <c r="AC219" s="19"/>
      <c r="AD219" s="19"/>
      <c r="AE219" s="19"/>
      <c r="AF219" s="37"/>
    </row>
    <row r="220" spans="1:32" s="3" customFormat="1" x14ac:dyDescent="0.25">
      <c r="A220" s="7"/>
      <c r="B220" s="8"/>
      <c r="C220" s="9"/>
      <c r="D220" s="8"/>
      <c r="E220" s="194"/>
      <c r="F220" s="19"/>
      <c r="G220" s="19"/>
      <c r="J220" s="8"/>
      <c r="K220" s="30"/>
      <c r="L220" s="30"/>
      <c r="M220" s="30"/>
      <c r="N220" s="30"/>
      <c r="O220" s="30"/>
      <c r="P220" s="30"/>
      <c r="Q220" s="30"/>
      <c r="R220" s="30"/>
      <c r="S220" s="30"/>
      <c r="T220" s="30"/>
      <c r="U220" s="33"/>
      <c r="V220" s="30"/>
      <c r="W220" s="30"/>
      <c r="X220" s="30"/>
      <c r="Y220" s="30"/>
      <c r="AA220" s="19"/>
      <c r="AB220" s="19"/>
      <c r="AC220" s="19"/>
      <c r="AD220" s="19"/>
      <c r="AE220" s="19"/>
      <c r="AF220" s="37"/>
    </row>
    <row r="221" spans="1:32" s="3" customFormat="1" x14ac:dyDescent="0.25">
      <c r="A221" s="7"/>
      <c r="B221" s="8"/>
      <c r="C221" s="9"/>
      <c r="D221" s="8"/>
      <c r="E221" s="194"/>
      <c r="F221" s="19"/>
      <c r="G221" s="19"/>
      <c r="J221" s="8"/>
      <c r="K221" s="30"/>
      <c r="L221" s="30"/>
      <c r="M221" s="30"/>
      <c r="N221" s="30"/>
      <c r="O221" s="30"/>
      <c r="P221" s="30"/>
      <c r="Q221" s="30"/>
      <c r="R221" s="30"/>
      <c r="S221" s="30"/>
      <c r="T221" s="30"/>
      <c r="U221" s="33"/>
      <c r="V221" s="30"/>
      <c r="W221" s="30"/>
      <c r="X221" s="30"/>
      <c r="Y221" s="30"/>
      <c r="AA221" s="19"/>
      <c r="AB221" s="19"/>
      <c r="AC221" s="19"/>
      <c r="AD221" s="19"/>
      <c r="AE221" s="19"/>
      <c r="AF221" s="37"/>
    </row>
    <row r="222" spans="1:32" s="3" customFormat="1" x14ac:dyDescent="0.25">
      <c r="A222" s="7"/>
      <c r="B222" s="8"/>
      <c r="C222" s="9"/>
      <c r="D222" s="8"/>
      <c r="E222" s="194"/>
      <c r="F222" s="19"/>
      <c r="G222" s="19"/>
      <c r="J222" s="8"/>
      <c r="K222" s="30"/>
      <c r="L222" s="30"/>
      <c r="M222" s="30"/>
      <c r="N222" s="30"/>
      <c r="O222" s="30"/>
      <c r="P222" s="30"/>
      <c r="Q222" s="30"/>
      <c r="R222" s="30"/>
      <c r="S222" s="30"/>
      <c r="T222" s="30"/>
      <c r="U222" s="33"/>
      <c r="V222" s="30"/>
      <c r="W222" s="30"/>
      <c r="X222" s="30"/>
      <c r="Y222" s="30"/>
      <c r="AA222" s="19"/>
      <c r="AB222" s="19"/>
      <c r="AC222" s="19"/>
      <c r="AD222" s="19"/>
      <c r="AE222" s="19"/>
      <c r="AF222" s="37"/>
    </row>
    <row r="223" spans="1:32" s="3" customFormat="1" x14ac:dyDescent="0.25">
      <c r="A223" s="7"/>
      <c r="B223" s="8"/>
      <c r="C223" s="9"/>
      <c r="D223" s="8"/>
      <c r="E223" s="194"/>
      <c r="F223" s="19"/>
      <c r="G223" s="19"/>
      <c r="J223" s="8"/>
      <c r="K223" s="30"/>
      <c r="L223" s="30"/>
      <c r="M223" s="30"/>
      <c r="N223" s="30"/>
      <c r="O223" s="30"/>
      <c r="P223" s="30"/>
      <c r="Q223" s="30"/>
      <c r="R223" s="30"/>
      <c r="S223" s="30"/>
      <c r="T223" s="30"/>
      <c r="U223" s="33"/>
      <c r="V223" s="30"/>
      <c r="W223" s="30"/>
      <c r="X223" s="30"/>
      <c r="Y223" s="30"/>
      <c r="AA223" s="19"/>
      <c r="AB223" s="19"/>
      <c r="AC223" s="19"/>
      <c r="AD223" s="19"/>
      <c r="AE223" s="19"/>
      <c r="AF223" s="37"/>
    </row>
    <row r="224" spans="1:32" s="3" customFormat="1" x14ac:dyDescent="0.25">
      <c r="A224" s="7"/>
      <c r="B224" s="8"/>
      <c r="C224" s="9"/>
      <c r="D224" s="8"/>
      <c r="E224" s="194"/>
      <c r="F224" s="19"/>
      <c r="G224" s="19"/>
      <c r="J224" s="8"/>
      <c r="K224" s="30"/>
      <c r="L224" s="30"/>
      <c r="M224" s="30"/>
      <c r="N224" s="30"/>
      <c r="O224" s="30"/>
      <c r="P224" s="30"/>
      <c r="Q224" s="30"/>
      <c r="R224" s="30"/>
      <c r="S224" s="30"/>
      <c r="T224" s="30"/>
      <c r="U224" s="33"/>
      <c r="V224" s="30"/>
      <c r="W224" s="30"/>
      <c r="X224" s="30"/>
      <c r="Y224" s="30"/>
      <c r="AA224" s="19"/>
      <c r="AB224" s="19"/>
      <c r="AC224" s="19"/>
      <c r="AD224" s="19"/>
      <c r="AE224" s="19"/>
      <c r="AF224" s="37"/>
    </row>
    <row r="225" spans="1:32" s="3" customFormat="1" x14ac:dyDescent="0.25">
      <c r="A225" s="7"/>
      <c r="B225" s="8"/>
      <c r="C225" s="9"/>
      <c r="D225" s="8"/>
      <c r="E225" s="194"/>
      <c r="F225" s="19"/>
      <c r="G225" s="19"/>
      <c r="J225" s="8"/>
      <c r="K225" s="30"/>
      <c r="L225" s="30"/>
      <c r="M225" s="30"/>
      <c r="N225" s="30"/>
      <c r="O225" s="30"/>
      <c r="P225" s="30"/>
      <c r="Q225" s="30"/>
      <c r="R225" s="30"/>
      <c r="S225" s="30"/>
      <c r="T225" s="30"/>
      <c r="U225" s="33"/>
      <c r="V225" s="30"/>
      <c r="W225" s="30"/>
      <c r="X225" s="30"/>
      <c r="Y225" s="30"/>
      <c r="AA225" s="19"/>
      <c r="AB225" s="19"/>
      <c r="AC225" s="19"/>
      <c r="AD225" s="19"/>
      <c r="AE225" s="19"/>
      <c r="AF225" s="37"/>
    </row>
    <row r="226" spans="1:32" s="3" customFormat="1" x14ac:dyDescent="0.25">
      <c r="A226" s="7"/>
      <c r="B226" s="8"/>
      <c r="C226" s="9"/>
      <c r="D226" s="8"/>
      <c r="E226" s="194"/>
      <c r="F226" s="19"/>
      <c r="G226" s="19"/>
      <c r="J226" s="8"/>
      <c r="K226" s="30"/>
      <c r="L226" s="30"/>
      <c r="M226" s="30"/>
      <c r="N226" s="30"/>
      <c r="O226" s="30"/>
      <c r="P226" s="30"/>
      <c r="Q226" s="30"/>
      <c r="R226" s="30"/>
      <c r="S226" s="30"/>
      <c r="T226" s="30"/>
      <c r="U226" s="33"/>
      <c r="V226" s="30"/>
      <c r="W226" s="30"/>
      <c r="X226" s="30"/>
      <c r="Y226" s="30"/>
      <c r="AA226" s="19"/>
      <c r="AB226" s="19"/>
      <c r="AC226" s="19"/>
      <c r="AD226" s="19"/>
      <c r="AE226" s="19"/>
      <c r="AF226" s="37"/>
    </row>
    <row r="227" spans="1:32" s="3" customFormat="1" x14ac:dyDescent="0.25">
      <c r="A227" s="7"/>
      <c r="B227" s="8"/>
      <c r="C227" s="9"/>
      <c r="D227" s="8"/>
      <c r="E227" s="194"/>
      <c r="F227" s="19"/>
      <c r="G227" s="19"/>
      <c r="J227" s="8"/>
      <c r="K227" s="30"/>
      <c r="L227" s="30"/>
      <c r="M227" s="30"/>
      <c r="N227" s="30"/>
      <c r="O227" s="30"/>
      <c r="P227" s="30"/>
      <c r="Q227" s="30"/>
      <c r="R227" s="30"/>
      <c r="S227" s="30"/>
      <c r="T227" s="30"/>
      <c r="U227" s="33"/>
      <c r="V227" s="30"/>
      <c r="W227" s="30"/>
      <c r="X227" s="30"/>
      <c r="Y227" s="30"/>
      <c r="AA227" s="19"/>
      <c r="AB227" s="19"/>
      <c r="AC227" s="19"/>
      <c r="AD227" s="19"/>
      <c r="AE227" s="19"/>
      <c r="AF227" s="37"/>
    </row>
    <row r="228" spans="1:32" s="3" customFormat="1" x14ac:dyDescent="0.25">
      <c r="A228" s="7"/>
      <c r="B228" s="8"/>
      <c r="C228" s="9"/>
      <c r="D228" s="8"/>
      <c r="E228" s="194"/>
      <c r="F228" s="19"/>
      <c r="G228" s="19"/>
      <c r="J228" s="8"/>
      <c r="K228" s="30"/>
      <c r="L228" s="30"/>
      <c r="M228" s="30"/>
      <c r="N228" s="30"/>
      <c r="O228" s="30"/>
      <c r="P228" s="30"/>
      <c r="Q228" s="30"/>
      <c r="R228" s="30"/>
      <c r="S228" s="30"/>
      <c r="T228" s="30"/>
      <c r="U228" s="33"/>
      <c r="V228" s="30"/>
      <c r="W228" s="30"/>
      <c r="X228" s="30"/>
      <c r="Y228" s="30"/>
      <c r="AA228" s="19"/>
      <c r="AB228" s="19"/>
      <c r="AC228" s="19"/>
      <c r="AD228" s="19"/>
      <c r="AE228" s="19"/>
      <c r="AF228" s="37"/>
    </row>
    <row r="229" spans="1:32" s="3" customFormat="1" x14ac:dyDescent="0.25">
      <c r="A229" s="7"/>
      <c r="B229" s="8"/>
      <c r="C229" s="9"/>
      <c r="D229" s="8"/>
      <c r="E229" s="194"/>
      <c r="F229" s="19"/>
      <c r="G229" s="19"/>
      <c r="J229" s="8"/>
      <c r="K229" s="30"/>
      <c r="L229" s="30"/>
      <c r="M229" s="30"/>
      <c r="N229" s="30"/>
      <c r="O229" s="30"/>
      <c r="P229" s="30"/>
      <c r="Q229" s="30"/>
      <c r="R229" s="30"/>
      <c r="S229" s="30"/>
      <c r="T229" s="30"/>
      <c r="U229" s="33"/>
      <c r="V229" s="30"/>
      <c r="W229" s="30"/>
      <c r="X229" s="30"/>
      <c r="Y229" s="30"/>
      <c r="AA229" s="19"/>
      <c r="AB229" s="19"/>
      <c r="AC229" s="19"/>
      <c r="AD229" s="19"/>
      <c r="AE229" s="19"/>
      <c r="AF229" s="37"/>
    </row>
    <row r="230" spans="1:32" s="3" customFormat="1" x14ac:dyDescent="0.25">
      <c r="A230" s="7"/>
      <c r="B230" s="8"/>
      <c r="C230" s="9"/>
      <c r="D230" s="8"/>
      <c r="E230" s="194"/>
      <c r="F230" s="19"/>
      <c r="G230" s="19"/>
      <c r="J230" s="8"/>
      <c r="K230" s="30"/>
      <c r="L230" s="30"/>
      <c r="M230" s="30"/>
      <c r="N230" s="30"/>
      <c r="O230" s="30"/>
      <c r="P230" s="30"/>
      <c r="Q230" s="30"/>
      <c r="R230" s="30"/>
      <c r="S230" s="30"/>
      <c r="T230" s="30"/>
      <c r="U230" s="33"/>
      <c r="V230" s="30"/>
      <c r="W230" s="30"/>
      <c r="X230" s="30"/>
      <c r="Y230" s="30"/>
      <c r="AA230" s="19"/>
      <c r="AB230" s="19"/>
      <c r="AC230" s="19"/>
      <c r="AD230" s="19"/>
      <c r="AE230" s="19"/>
      <c r="AF230" s="37"/>
    </row>
    <row r="231" spans="1:32" s="3" customFormat="1" x14ac:dyDescent="0.25">
      <c r="A231" s="7"/>
      <c r="B231" s="8"/>
      <c r="C231" s="9"/>
      <c r="D231" s="8"/>
      <c r="E231" s="194"/>
      <c r="F231" s="19"/>
      <c r="G231" s="19"/>
      <c r="J231" s="8"/>
      <c r="K231" s="30"/>
      <c r="L231" s="30"/>
      <c r="M231" s="30"/>
      <c r="N231" s="30"/>
      <c r="O231" s="30"/>
      <c r="P231" s="30"/>
      <c r="Q231" s="30"/>
      <c r="R231" s="30"/>
      <c r="S231" s="30"/>
      <c r="T231" s="30"/>
      <c r="U231" s="33"/>
      <c r="V231" s="30"/>
      <c r="W231" s="30"/>
      <c r="X231" s="30"/>
      <c r="Y231" s="30"/>
      <c r="AA231" s="19"/>
      <c r="AB231" s="19"/>
      <c r="AC231" s="19"/>
      <c r="AD231" s="19"/>
      <c r="AE231" s="19"/>
      <c r="AF231" s="37"/>
    </row>
    <row r="232" spans="1:32" s="3" customFormat="1" x14ac:dyDescent="0.25">
      <c r="A232" s="7"/>
      <c r="B232" s="8"/>
      <c r="C232" s="9"/>
      <c r="D232" s="8"/>
      <c r="E232" s="194"/>
      <c r="F232" s="19"/>
      <c r="G232" s="19"/>
      <c r="J232" s="8"/>
      <c r="K232" s="30"/>
      <c r="L232" s="30"/>
      <c r="M232" s="30"/>
      <c r="N232" s="30"/>
      <c r="O232" s="30"/>
      <c r="P232" s="30"/>
      <c r="Q232" s="30"/>
      <c r="R232" s="30"/>
      <c r="S232" s="30"/>
      <c r="T232" s="30"/>
      <c r="U232" s="33"/>
      <c r="V232" s="30"/>
      <c r="W232" s="30"/>
      <c r="X232" s="30"/>
      <c r="Y232" s="30"/>
      <c r="AA232" s="19"/>
      <c r="AB232" s="19"/>
      <c r="AC232" s="19"/>
      <c r="AD232" s="19"/>
      <c r="AE232" s="19"/>
      <c r="AF232" s="37"/>
    </row>
    <row r="233" spans="1:32" s="3" customFormat="1" x14ac:dyDescent="0.25">
      <c r="A233" s="7"/>
      <c r="B233" s="8"/>
      <c r="C233" s="9"/>
      <c r="D233" s="8"/>
      <c r="E233" s="194"/>
      <c r="F233" s="19"/>
      <c r="G233" s="19"/>
      <c r="J233" s="8"/>
      <c r="K233" s="30"/>
      <c r="L233" s="30"/>
      <c r="M233" s="30"/>
      <c r="N233" s="30"/>
      <c r="O233" s="30"/>
      <c r="P233" s="30"/>
      <c r="Q233" s="30"/>
      <c r="R233" s="30"/>
      <c r="S233" s="30"/>
      <c r="T233" s="30"/>
      <c r="U233" s="33"/>
      <c r="V233" s="30"/>
      <c r="W233" s="30"/>
      <c r="X233" s="30"/>
      <c r="Y233" s="30"/>
      <c r="AA233" s="19"/>
      <c r="AB233" s="19"/>
      <c r="AC233" s="19"/>
      <c r="AD233" s="19"/>
      <c r="AE233" s="19"/>
      <c r="AF233" s="37"/>
    </row>
    <row r="234" spans="1:32" s="3" customFormat="1" x14ac:dyDescent="0.25">
      <c r="A234" s="7"/>
      <c r="B234" s="8"/>
      <c r="C234" s="9"/>
      <c r="D234" s="8"/>
      <c r="E234" s="194"/>
      <c r="F234" s="19"/>
      <c r="G234" s="19"/>
      <c r="J234" s="8"/>
      <c r="K234" s="30"/>
      <c r="L234" s="30"/>
      <c r="M234" s="30"/>
      <c r="N234" s="30"/>
      <c r="O234" s="30"/>
      <c r="P234" s="30"/>
      <c r="Q234" s="30"/>
      <c r="R234" s="30"/>
      <c r="S234" s="30"/>
      <c r="T234" s="30"/>
      <c r="U234" s="33"/>
      <c r="V234" s="30"/>
      <c r="W234" s="30"/>
      <c r="X234" s="30"/>
      <c r="Y234" s="30"/>
      <c r="AA234" s="19"/>
      <c r="AB234" s="19"/>
      <c r="AC234" s="19"/>
      <c r="AD234" s="19"/>
      <c r="AE234" s="19"/>
      <c r="AF234" s="37"/>
    </row>
    <row r="235" spans="1:32" s="3" customFormat="1" x14ac:dyDescent="0.25">
      <c r="A235" s="7"/>
      <c r="B235" s="8"/>
      <c r="C235" s="9"/>
      <c r="D235" s="8"/>
      <c r="E235" s="194"/>
      <c r="F235" s="19"/>
      <c r="G235" s="19"/>
      <c r="J235" s="8"/>
      <c r="K235" s="30"/>
      <c r="L235" s="30"/>
      <c r="M235" s="30"/>
      <c r="N235" s="30"/>
      <c r="O235" s="30"/>
      <c r="P235" s="30"/>
      <c r="Q235" s="30"/>
      <c r="R235" s="30"/>
      <c r="S235" s="30"/>
      <c r="T235" s="30"/>
      <c r="U235" s="33"/>
      <c r="V235" s="30"/>
      <c r="W235" s="30"/>
      <c r="X235" s="30"/>
      <c r="Y235" s="30"/>
      <c r="AA235" s="19"/>
      <c r="AB235" s="19"/>
      <c r="AC235" s="19"/>
      <c r="AD235" s="19"/>
      <c r="AE235" s="19"/>
      <c r="AF235" s="37"/>
    </row>
    <row r="236" spans="1:32" s="3" customFormat="1" x14ac:dyDescent="0.25">
      <c r="A236" s="7"/>
      <c r="B236" s="8"/>
      <c r="C236" s="9"/>
      <c r="D236" s="8"/>
      <c r="E236" s="194"/>
      <c r="F236" s="19"/>
      <c r="G236" s="19"/>
      <c r="J236" s="8"/>
      <c r="K236" s="30"/>
      <c r="L236" s="30"/>
      <c r="M236" s="30"/>
      <c r="N236" s="30"/>
      <c r="O236" s="30"/>
      <c r="P236" s="30"/>
      <c r="Q236" s="30"/>
      <c r="R236" s="30"/>
      <c r="S236" s="30"/>
      <c r="T236" s="30"/>
      <c r="U236" s="33"/>
      <c r="V236" s="30"/>
      <c r="W236" s="30"/>
      <c r="X236" s="30"/>
      <c r="Y236" s="30"/>
      <c r="AA236" s="19"/>
      <c r="AB236" s="19"/>
      <c r="AC236" s="19"/>
      <c r="AD236" s="19"/>
      <c r="AE236" s="19"/>
      <c r="AF236" s="37"/>
    </row>
    <row r="237" spans="1:32" s="3" customFormat="1" x14ac:dyDescent="0.25">
      <c r="A237" s="7"/>
      <c r="B237" s="8"/>
      <c r="C237" s="9"/>
      <c r="D237" s="8"/>
      <c r="E237" s="194"/>
      <c r="F237" s="19"/>
      <c r="G237" s="19"/>
      <c r="J237" s="8"/>
      <c r="K237" s="30"/>
      <c r="L237" s="30"/>
      <c r="M237" s="30"/>
      <c r="N237" s="30"/>
      <c r="O237" s="30"/>
      <c r="P237" s="30"/>
      <c r="Q237" s="30"/>
      <c r="R237" s="30"/>
      <c r="S237" s="30"/>
      <c r="T237" s="30"/>
      <c r="U237" s="33"/>
      <c r="V237" s="30"/>
      <c r="W237" s="30"/>
      <c r="X237" s="30"/>
      <c r="Y237" s="30"/>
      <c r="AA237" s="19"/>
      <c r="AB237" s="19"/>
      <c r="AC237" s="19"/>
      <c r="AD237" s="19"/>
      <c r="AE237" s="19"/>
      <c r="AF237" s="37"/>
    </row>
    <row r="238" spans="1:32" s="3" customFormat="1" x14ac:dyDescent="0.25">
      <c r="A238" s="7"/>
      <c r="B238" s="8"/>
      <c r="C238" s="9"/>
      <c r="D238" s="8"/>
      <c r="E238" s="194"/>
      <c r="F238" s="19"/>
      <c r="G238" s="19"/>
      <c r="J238" s="8"/>
      <c r="K238" s="30"/>
      <c r="L238" s="30"/>
      <c r="M238" s="30"/>
      <c r="N238" s="30"/>
      <c r="O238" s="30"/>
      <c r="P238" s="30"/>
      <c r="Q238" s="30"/>
      <c r="R238" s="30"/>
      <c r="S238" s="30"/>
      <c r="T238" s="30"/>
      <c r="U238" s="33"/>
      <c r="V238" s="30"/>
      <c r="W238" s="30"/>
      <c r="X238" s="30"/>
      <c r="Y238" s="30"/>
      <c r="AA238" s="19"/>
      <c r="AB238" s="19"/>
      <c r="AC238" s="19"/>
      <c r="AD238" s="19"/>
      <c r="AE238" s="19"/>
      <c r="AF238" s="37"/>
    </row>
    <row r="239" spans="1:32" s="3" customFormat="1" x14ac:dyDescent="0.25">
      <c r="A239" s="7"/>
      <c r="B239" s="8"/>
      <c r="C239" s="9"/>
      <c r="D239" s="8"/>
      <c r="E239" s="194"/>
      <c r="F239" s="19"/>
      <c r="G239" s="19"/>
      <c r="J239" s="8"/>
      <c r="K239" s="30"/>
      <c r="L239" s="30"/>
      <c r="M239" s="30"/>
      <c r="N239" s="30"/>
      <c r="O239" s="30"/>
      <c r="P239" s="30"/>
      <c r="Q239" s="30"/>
      <c r="R239" s="30"/>
      <c r="S239" s="30"/>
      <c r="T239" s="30"/>
      <c r="U239" s="33"/>
      <c r="V239" s="30"/>
      <c r="W239" s="30"/>
      <c r="X239" s="30"/>
      <c r="Y239" s="30"/>
      <c r="AA239" s="19"/>
      <c r="AB239" s="19"/>
      <c r="AC239" s="19"/>
      <c r="AD239" s="19"/>
      <c r="AE239" s="19"/>
      <c r="AF239" s="37"/>
    </row>
    <row r="240" spans="1:32" s="3" customFormat="1" x14ac:dyDescent="0.25">
      <c r="A240" s="7"/>
      <c r="B240" s="8"/>
      <c r="C240" s="9"/>
      <c r="D240" s="8"/>
      <c r="E240" s="194"/>
      <c r="F240" s="19"/>
      <c r="G240" s="19"/>
      <c r="J240" s="8"/>
      <c r="K240" s="30"/>
      <c r="L240" s="30"/>
      <c r="M240" s="30"/>
      <c r="N240" s="30"/>
      <c r="O240" s="30"/>
      <c r="P240" s="30"/>
      <c r="Q240" s="30"/>
      <c r="R240" s="30"/>
      <c r="S240" s="30"/>
      <c r="T240" s="30"/>
      <c r="U240" s="33"/>
      <c r="V240" s="30"/>
      <c r="W240" s="30"/>
      <c r="X240" s="30"/>
      <c r="Y240" s="30"/>
      <c r="AA240" s="19"/>
      <c r="AB240" s="19"/>
      <c r="AC240" s="19"/>
      <c r="AD240" s="19"/>
      <c r="AE240" s="19"/>
      <c r="AF240" s="37"/>
    </row>
    <row r="241" spans="1:32" s="3" customFormat="1" x14ac:dyDescent="0.25">
      <c r="A241" s="7"/>
      <c r="B241" s="8"/>
      <c r="C241" s="9"/>
      <c r="D241" s="8"/>
      <c r="E241" s="194"/>
      <c r="F241" s="19"/>
      <c r="G241" s="19"/>
      <c r="J241" s="8"/>
      <c r="K241" s="30"/>
      <c r="L241" s="30"/>
      <c r="M241" s="30"/>
      <c r="N241" s="30"/>
      <c r="O241" s="30"/>
      <c r="P241" s="30"/>
      <c r="Q241" s="30"/>
      <c r="R241" s="30"/>
      <c r="S241" s="30"/>
      <c r="T241" s="30"/>
      <c r="U241" s="33"/>
      <c r="V241" s="30"/>
      <c r="W241" s="30"/>
      <c r="X241" s="30"/>
      <c r="Y241" s="30"/>
      <c r="AA241" s="19"/>
      <c r="AB241" s="19"/>
      <c r="AC241" s="19"/>
      <c r="AD241" s="19"/>
      <c r="AE241" s="19"/>
      <c r="AF241" s="37"/>
    </row>
    <row r="242" spans="1:32" s="3" customFormat="1" x14ac:dyDescent="0.25">
      <c r="A242" s="7"/>
      <c r="B242" s="8"/>
      <c r="C242" s="9"/>
      <c r="D242" s="8"/>
      <c r="E242" s="194"/>
      <c r="F242" s="19"/>
      <c r="G242" s="19"/>
      <c r="J242" s="8"/>
      <c r="K242" s="30"/>
      <c r="L242" s="30"/>
      <c r="M242" s="30"/>
      <c r="N242" s="30"/>
      <c r="O242" s="30"/>
      <c r="P242" s="30"/>
      <c r="Q242" s="30"/>
      <c r="R242" s="30"/>
      <c r="S242" s="30"/>
      <c r="T242" s="30"/>
      <c r="U242" s="33"/>
      <c r="V242" s="30"/>
      <c r="W242" s="30"/>
      <c r="X242" s="30"/>
      <c r="Y242" s="30"/>
      <c r="AA242" s="19"/>
      <c r="AB242" s="19"/>
      <c r="AC242" s="19"/>
      <c r="AD242" s="19"/>
      <c r="AE242" s="19"/>
      <c r="AF242" s="37"/>
    </row>
    <row r="243" spans="1:32" s="3" customFormat="1" x14ac:dyDescent="0.25">
      <c r="A243" s="7"/>
      <c r="B243" s="8"/>
      <c r="C243" s="9"/>
      <c r="D243" s="8"/>
      <c r="E243" s="194"/>
      <c r="F243" s="19"/>
      <c r="G243" s="19"/>
      <c r="J243" s="8"/>
      <c r="K243" s="30"/>
      <c r="L243" s="30"/>
      <c r="M243" s="30"/>
      <c r="N243" s="30"/>
      <c r="O243" s="30"/>
      <c r="P243" s="30"/>
      <c r="Q243" s="30"/>
      <c r="R243" s="30"/>
      <c r="S243" s="30"/>
      <c r="T243" s="30"/>
      <c r="U243" s="33"/>
      <c r="V243" s="30"/>
      <c r="W243" s="30"/>
      <c r="X243" s="30"/>
      <c r="Y243" s="30"/>
      <c r="AA243" s="19"/>
      <c r="AB243" s="19"/>
      <c r="AC243" s="19"/>
      <c r="AD243" s="19"/>
      <c r="AE243" s="19"/>
      <c r="AF243" s="37"/>
    </row>
    <row r="244" spans="1:32" s="3" customFormat="1" x14ac:dyDescent="0.25">
      <c r="A244" s="7"/>
      <c r="B244" s="8"/>
      <c r="C244" s="9"/>
      <c r="D244" s="8"/>
      <c r="E244" s="194"/>
      <c r="F244" s="19"/>
      <c r="G244" s="19"/>
      <c r="J244" s="8"/>
      <c r="K244" s="30"/>
      <c r="L244" s="30"/>
      <c r="M244" s="30"/>
      <c r="N244" s="30"/>
      <c r="O244" s="30"/>
      <c r="P244" s="30"/>
      <c r="Q244" s="30"/>
      <c r="R244" s="30"/>
      <c r="S244" s="30"/>
      <c r="T244" s="30"/>
      <c r="U244" s="33"/>
      <c r="V244" s="30"/>
      <c r="W244" s="30"/>
      <c r="X244" s="30"/>
      <c r="Y244" s="30"/>
      <c r="AA244" s="19"/>
      <c r="AB244" s="19"/>
      <c r="AC244" s="19"/>
      <c r="AD244" s="19"/>
      <c r="AE244" s="19"/>
      <c r="AF244" s="37"/>
    </row>
    <row r="245" spans="1:32" s="3" customFormat="1" x14ac:dyDescent="0.25">
      <c r="A245" s="7"/>
      <c r="B245" s="8"/>
      <c r="C245" s="9"/>
      <c r="D245" s="8"/>
      <c r="E245" s="194"/>
      <c r="F245" s="19"/>
      <c r="G245" s="19"/>
      <c r="J245" s="8"/>
      <c r="K245" s="30"/>
      <c r="L245" s="30"/>
      <c r="M245" s="30"/>
      <c r="N245" s="30"/>
      <c r="O245" s="30"/>
      <c r="P245" s="30"/>
      <c r="Q245" s="30"/>
      <c r="R245" s="30"/>
      <c r="S245" s="30"/>
      <c r="T245" s="30"/>
      <c r="U245" s="33"/>
      <c r="V245" s="30"/>
      <c r="W245" s="30"/>
      <c r="X245" s="30"/>
      <c r="Y245" s="30"/>
      <c r="AA245" s="19"/>
      <c r="AB245" s="19"/>
      <c r="AC245" s="19"/>
      <c r="AD245" s="19"/>
      <c r="AE245" s="19"/>
      <c r="AF245" s="37"/>
    </row>
    <row r="246" spans="1:32" s="3" customFormat="1" x14ac:dyDescent="0.25">
      <c r="A246" s="7"/>
      <c r="B246" s="8"/>
      <c r="C246" s="9"/>
      <c r="D246" s="8"/>
      <c r="E246" s="194"/>
      <c r="F246" s="19"/>
      <c r="G246" s="19"/>
      <c r="J246" s="8"/>
      <c r="K246" s="30"/>
      <c r="L246" s="30"/>
      <c r="M246" s="30"/>
      <c r="N246" s="30"/>
      <c r="O246" s="30"/>
      <c r="P246" s="30"/>
      <c r="Q246" s="30"/>
      <c r="R246" s="30"/>
      <c r="S246" s="30"/>
      <c r="T246" s="30"/>
      <c r="U246" s="33"/>
      <c r="V246" s="30"/>
      <c r="W246" s="30"/>
      <c r="X246" s="30"/>
      <c r="Y246" s="30"/>
      <c r="AA246" s="19"/>
      <c r="AB246" s="19"/>
      <c r="AC246" s="19"/>
      <c r="AD246" s="19"/>
      <c r="AE246" s="19"/>
      <c r="AF246" s="37"/>
    </row>
    <row r="247" spans="1:32" s="3" customFormat="1" x14ac:dyDescent="0.25">
      <c r="A247" s="7"/>
      <c r="B247" s="8"/>
      <c r="C247" s="9"/>
      <c r="D247" s="8"/>
      <c r="E247" s="194"/>
      <c r="F247" s="19"/>
      <c r="G247" s="19"/>
      <c r="J247" s="8"/>
      <c r="K247" s="30"/>
      <c r="L247" s="30"/>
      <c r="M247" s="30"/>
      <c r="N247" s="30"/>
      <c r="O247" s="30"/>
      <c r="P247" s="30"/>
      <c r="Q247" s="30"/>
      <c r="R247" s="30"/>
      <c r="S247" s="30"/>
      <c r="T247" s="30"/>
      <c r="U247" s="33"/>
      <c r="V247" s="30"/>
      <c r="W247" s="30"/>
      <c r="X247" s="30"/>
      <c r="Y247" s="30"/>
      <c r="AA247" s="19"/>
      <c r="AB247" s="19"/>
      <c r="AC247" s="19"/>
      <c r="AD247" s="19"/>
      <c r="AE247" s="19"/>
      <c r="AF247" s="37"/>
    </row>
    <row r="248" spans="1:32" s="3" customFormat="1" x14ac:dyDescent="0.25">
      <c r="A248" s="7"/>
      <c r="B248" s="8"/>
      <c r="C248" s="9"/>
      <c r="D248" s="8"/>
      <c r="E248" s="194"/>
      <c r="F248" s="19"/>
      <c r="G248" s="19"/>
      <c r="J248" s="8"/>
      <c r="K248" s="30"/>
      <c r="L248" s="30"/>
      <c r="M248" s="30"/>
      <c r="N248" s="30"/>
      <c r="O248" s="30"/>
      <c r="P248" s="30"/>
      <c r="Q248" s="30"/>
      <c r="R248" s="30"/>
      <c r="S248" s="30"/>
      <c r="T248" s="30"/>
      <c r="U248" s="33"/>
      <c r="V248" s="30"/>
      <c r="W248" s="30"/>
      <c r="X248" s="30"/>
      <c r="Y248" s="30"/>
      <c r="AA248" s="19"/>
      <c r="AB248" s="19"/>
      <c r="AC248" s="19"/>
      <c r="AD248" s="19"/>
      <c r="AE248" s="19"/>
      <c r="AF248" s="37"/>
    </row>
    <row r="249" spans="1:32" s="3" customFormat="1" x14ac:dyDescent="0.25">
      <c r="A249" s="7"/>
      <c r="B249" s="8"/>
      <c r="C249" s="9"/>
      <c r="D249" s="8"/>
      <c r="E249" s="194"/>
      <c r="F249" s="19"/>
      <c r="G249" s="19"/>
      <c r="J249" s="8"/>
      <c r="K249" s="30"/>
      <c r="L249" s="30"/>
      <c r="M249" s="30"/>
      <c r="N249" s="30"/>
      <c r="O249" s="30"/>
      <c r="P249" s="30"/>
      <c r="Q249" s="30"/>
      <c r="R249" s="30"/>
      <c r="S249" s="30"/>
      <c r="T249" s="30"/>
      <c r="U249" s="33"/>
      <c r="V249" s="30"/>
      <c r="W249" s="30"/>
      <c r="X249" s="30"/>
      <c r="Y249" s="30"/>
      <c r="AA249" s="19"/>
      <c r="AB249" s="19"/>
      <c r="AC249" s="19"/>
      <c r="AD249" s="19"/>
      <c r="AE249" s="19"/>
      <c r="AF249" s="37"/>
    </row>
    <row r="250" spans="1:32" s="3" customFormat="1" x14ac:dyDescent="0.25">
      <c r="A250" s="7"/>
      <c r="B250" s="8"/>
      <c r="C250" s="9"/>
      <c r="D250" s="8"/>
      <c r="E250" s="194"/>
      <c r="F250" s="19"/>
      <c r="G250" s="19"/>
      <c r="J250" s="8"/>
      <c r="K250" s="30"/>
      <c r="L250" s="30"/>
      <c r="M250" s="30"/>
      <c r="N250" s="30"/>
      <c r="O250" s="30"/>
      <c r="P250" s="30"/>
      <c r="Q250" s="30"/>
      <c r="R250" s="30"/>
      <c r="S250" s="30"/>
      <c r="T250" s="30"/>
      <c r="U250" s="33"/>
      <c r="V250" s="30"/>
      <c r="W250" s="30"/>
      <c r="X250" s="30"/>
      <c r="Y250" s="30"/>
      <c r="AA250" s="19"/>
      <c r="AB250" s="19"/>
      <c r="AC250" s="19"/>
      <c r="AD250" s="19"/>
      <c r="AE250" s="19"/>
      <c r="AF250" s="37"/>
    </row>
    <row r="251" spans="1:32" s="3" customFormat="1" x14ac:dyDescent="0.25">
      <c r="A251" s="7"/>
      <c r="B251" s="8"/>
      <c r="C251" s="9"/>
      <c r="D251" s="8"/>
      <c r="E251" s="194"/>
      <c r="F251" s="19"/>
      <c r="G251" s="19"/>
      <c r="J251" s="8"/>
      <c r="K251" s="30"/>
      <c r="L251" s="30"/>
      <c r="M251" s="30"/>
      <c r="N251" s="30"/>
      <c r="O251" s="30"/>
      <c r="P251" s="30"/>
      <c r="Q251" s="30"/>
      <c r="R251" s="30"/>
      <c r="S251" s="30"/>
      <c r="T251" s="30"/>
      <c r="U251" s="33"/>
      <c r="V251" s="30"/>
      <c r="W251" s="30"/>
      <c r="X251" s="30"/>
      <c r="Y251" s="30"/>
      <c r="AA251" s="19"/>
      <c r="AB251" s="19"/>
      <c r="AC251" s="19"/>
      <c r="AD251" s="19"/>
      <c r="AE251" s="19"/>
      <c r="AF251" s="37"/>
    </row>
    <row r="252" spans="1:32" s="3" customFormat="1" x14ac:dyDescent="0.25">
      <c r="A252" s="7"/>
      <c r="B252" s="8"/>
      <c r="C252" s="9"/>
      <c r="D252" s="8"/>
      <c r="E252" s="194"/>
      <c r="F252" s="19"/>
      <c r="G252" s="19"/>
      <c r="J252" s="8"/>
      <c r="K252" s="30"/>
      <c r="L252" s="30"/>
      <c r="M252" s="30"/>
      <c r="N252" s="30"/>
      <c r="O252" s="30"/>
      <c r="P252" s="30"/>
      <c r="Q252" s="30"/>
      <c r="R252" s="30"/>
      <c r="S252" s="30"/>
      <c r="T252" s="30"/>
      <c r="U252" s="33"/>
      <c r="V252" s="30"/>
      <c r="W252" s="30"/>
      <c r="X252" s="30"/>
      <c r="Y252" s="30"/>
      <c r="AA252" s="19"/>
      <c r="AB252" s="19"/>
      <c r="AC252" s="19"/>
      <c r="AD252" s="19"/>
      <c r="AE252" s="19"/>
      <c r="AF252" s="37"/>
    </row>
    <row r="253" spans="1:32" s="3" customFormat="1" x14ac:dyDescent="0.25">
      <c r="A253" s="7"/>
      <c r="B253" s="8"/>
      <c r="C253" s="9"/>
      <c r="D253" s="8"/>
      <c r="E253" s="194"/>
      <c r="F253" s="19"/>
      <c r="G253" s="19"/>
      <c r="J253" s="8"/>
      <c r="K253" s="30"/>
      <c r="L253" s="30"/>
      <c r="M253" s="30"/>
      <c r="N253" s="30"/>
      <c r="O253" s="30"/>
      <c r="P253" s="30"/>
      <c r="Q253" s="30"/>
      <c r="R253" s="30"/>
      <c r="S253" s="30"/>
      <c r="T253" s="30"/>
      <c r="U253" s="33"/>
      <c r="V253" s="30"/>
      <c r="W253" s="30"/>
      <c r="X253" s="30"/>
      <c r="Y253" s="30"/>
      <c r="AA253" s="19"/>
      <c r="AB253" s="19"/>
      <c r="AC253" s="19"/>
      <c r="AD253" s="19"/>
      <c r="AE253" s="19"/>
      <c r="AF253" s="37"/>
    </row>
    <row r="254" spans="1:32" s="3" customFormat="1" x14ac:dyDescent="0.25">
      <c r="A254" s="7"/>
      <c r="B254" s="8"/>
      <c r="C254" s="9"/>
      <c r="D254" s="8"/>
      <c r="E254" s="194"/>
      <c r="F254" s="19"/>
      <c r="G254" s="19"/>
      <c r="J254" s="8"/>
      <c r="K254" s="30"/>
      <c r="L254" s="30"/>
      <c r="M254" s="30"/>
      <c r="N254" s="30"/>
      <c r="O254" s="30"/>
      <c r="P254" s="30"/>
      <c r="Q254" s="30"/>
      <c r="R254" s="30"/>
      <c r="S254" s="30"/>
      <c r="T254" s="30"/>
      <c r="U254" s="33"/>
      <c r="V254" s="30"/>
      <c r="W254" s="30"/>
      <c r="X254" s="30"/>
      <c r="Y254" s="30"/>
      <c r="AA254" s="19"/>
      <c r="AB254" s="19"/>
      <c r="AC254" s="19"/>
      <c r="AD254" s="19"/>
      <c r="AE254" s="19"/>
      <c r="AF254" s="37"/>
    </row>
    <row r="255" spans="1:32" s="3" customFormat="1" x14ac:dyDescent="0.25">
      <c r="A255" s="7"/>
      <c r="B255" s="8"/>
      <c r="C255" s="9"/>
      <c r="D255" s="8"/>
      <c r="E255" s="194"/>
      <c r="F255" s="19"/>
      <c r="G255" s="19"/>
      <c r="J255" s="8"/>
      <c r="K255" s="30"/>
      <c r="L255" s="30"/>
      <c r="M255" s="30"/>
      <c r="N255" s="30"/>
      <c r="O255" s="30"/>
      <c r="P255" s="30"/>
      <c r="Q255" s="30"/>
      <c r="R255" s="30"/>
      <c r="S255" s="30"/>
      <c r="T255" s="30"/>
      <c r="U255" s="33"/>
      <c r="V255" s="30"/>
      <c r="W255" s="30"/>
      <c r="X255" s="30"/>
      <c r="Y255" s="30"/>
      <c r="AA255" s="19"/>
      <c r="AB255" s="19"/>
      <c r="AC255" s="19"/>
      <c r="AD255" s="19"/>
      <c r="AE255" s="19"/>
      <c r="AF255" s="37"/>
    </row>
    <row r="256" spans="1:32" s="3" customFormat="1" x14ac:dyDescent="0.25">
      <c r="A256" s="7"/>
      <c r="B256" s="8"/>
      <c r="C256" s="9"/>
      <c r="D256" s="8"/>
      <c r="E256" s="194"/>
      <c r="F256" s="19"/>
      <c r="G256" s="19"/>
      <c r="J256" s="8"/>
      <c r="K256" s="30"/>
      <c r="L256" s="30"/>
      <c r="M256" s="30"/>
      <c r="N256" s="30"/>
      <c r="O256" s="30"/>
      <c r="P256" s="30"/>
      <c r="Q256" s="30"/>
      <c r="R256" s="30"/>
      <c r="S256" s="30"/>
      <c r="T256" s="30"/>
      <c r="U256" s="33"/>
      <c r="V256" s="30"/>
      <c r="W256" s="30"/>
      <c r="X256" s="30"/>
      <c r="Y256" s="30"/>
      <c r="AA256" s="19"/>
      <c r="AB256" s="19"/>
      <c r="AC256" s="19"/>
      <c r="AD256" s="19"/>
      <c r="AE256" s="19"/>
      <c r="AF256" s="37"/>
    </row>
    <row r="257" spans="1:32" s="3" customFormat="1" x14ac:dyDescent="0.25">
      <c r="A257" s="7"/>
      <c r="B257" s="8"/>
      <c r="C257" s="9"/>
      <c r="D257" s="8"/>
      <c r="E257" s="194"/>
      <c r="F257" s="19"/>
      <c r="G257" s="19"/>
      <c r="J257" s="8"/>
      <c r="K257" s="30"/>
      <c r="L257" s="30"/>
      <c r="M257" s="30"/>
      <c r="N257" s="30"/>
      <c r="O257" s="30"/>
      <c r="P257" s="30"/>
      <c r="Q257" s="30"/>
      <c r="R257" s="30"/>
      <c r="S257" s="30"/>
      <c r="T257" s="30"/>
      <c r="U257" s="33"/>
      <c r="V257" s="30"/>
      <c r="W257" s="30"/>
      <c r="X257" s="30"/>
      <c r="Y257" s="30"/>
      <c r="AA257" s="19"/>
      <c r="AB257" s="19"/>
      <c r="AC257" s="19"/>
      <c r="AD257" s="19"/>
      <c r="AE257" s="19"/>
      <c r="AF257" s="37"/>
    </row>
    <row r="258" spans="1:32" s="3" customFormat="1" x14ac:dyDescent="0.25">
      <c r="A258" s="7"/>
      <c r="B258" s="8"/>
      <c r="C258" s="9"/>
      <c r="D258" s="8"/>
      <c r="E258" s="194"/>
      <c r="F258" s="19"/>
      <c r="G258" s="19"/>
      <c r="J258" s="8"/>
      <c r="K258" s="30"/>
      <c r="L258" s="30"/>
      <c r="M258" s="30"/>
      <c r="N258" s="30"/>
      <c r="O258" s="30"/>
      <c r="P258" s="30"/>
      <c r="Q258" s="30"/>
      <c r="R258" s="30"/>
      <c r="S258" s="30"/>
      <c r="T258" s="30"/>
      <c r="U258" s="33"/>
      <c r="V258" s="30"/>
      <c r="W258" s="30"/>
      <c r="X258" s="30"/>
      <c r="Y258" s="30"/>
      <c r="AA258" s="19"/>
      <c r="AB258" s="19"/>
      <c r="AC258" s="19"/>
      <c r="AD258" s="19"/>
      <c r="AE258" s="19"/>
      <c r="AF258" s="37"/>
    </row>
    <row r="259" spans="1:32" s="3" customFormat="1" x14ac:dyDescent="0.25">
      <c r="A259" s="7"/>
      <c r="B259" s="8"/>
      <c r="C259" s="9"/>
      <c r="D259" s="8"/>
      <c r="E259" s="194"/>
      <c r="F259" s="19"/>
      <c r="G259" s="19"/>
      <c r="J259" s="8"/>
      <c r="K259" s="30"/>
      <c r="L259" s="30"/>
      <c r="M259" s="30"/>
      <c r="N259" s="30"/>
      <c r="O259" s="30"/>
      <c r="P259" s="30"/>
      <c r="Q259" s="30"/>
      <c r="R259" s="30"/>
      <c r="S259" s="30"/>
      <c r="T259" s="30"/>
      <c r="U259" s="33"/>
      <c r="V259" s="30"/>
      <c r="W259" s="30"/>
      <c r="X259" s="30"/>
      <c r="Y259" s="30"/>
      <c r="AA259" s="19"/>
      <c r="AB259" s="19"/>
      <c r="AC259" s="19"/>
      <c r="AD259" s="19"/>
      <c r="AE259" s="19"/>
      <c r="AF259" s="37"/>
    </row>
    <row r="260" spans="1:32" s="3" customFormat="1" x14ac:dyDescent="0.25">
      <c r="A260" s="7"/>
      <c r="B260" s="8"/>
      <c r="C260" s="9"/>
      <c r="D260" s="8"/>
      <c r="E260" s="194"/>
      <c r="F260" s="19"/>
      <c r="G260" s="19"/>
      <c r="J260" s="8"/>
      <c r="K260" s="30"/>
      <c r="L260" s="30"/>
      <c r="M260" s="30"/>
      <c r="N260" s="30"/>
      <c r="O260" s="30"/>
      <c r="P260" s="30"/>
      <c r="Q260" s="30"/>
      <c r="R260" s="30"/>
      <c r="S260" s="30"/>
      <c r="T260" s="30"/>
      <c r="U260" s="33"/>
      <c r="V260" s="30"/>
      <c r="W260" s="30"/>
      <c r="X260" s="30"/>
      <c r="Y260" s="30"/>
      <c r="AA260" s="19"/>
      <c r="AB260" s="19"/>
      <c r="AC260" s="19"/>
      <c r="AD260" s="19"/>
      <c r="AE260" s="19"/>
      <c r="AF260" s="37"/>
    </row>
    <row r="261" spans="1:32" s="3" customFormat="1" x14ac:dyDescent="0.25">
      <c r="A261" s="7"/>
      <c r="B261" s="8"/>
      <c r="C261" s="9"/>
      <c r="D261" s="8"/>
      <c r="E261" s="194"/>
      <c r="F261" s="19"/>
      <c r="G261" s="19"/>
      <c r="J261" s="8"/>
      <c r="K261" s="30"/>
      <c r="L261" s="30"/>
      <c r="M261" s="30"/>
      <c r="N261" s="30"/>
      <c r="O261" s="30"/>
      <c r="P261" s="30"/>
      <c r="Q261" s="30"/>
      <c r="R261" s="30"/>
      <c r="S261" s="30"/>
      <c r="T261" s="30"/>
      <c r="U261" s="33"/>
      <c r="V261" s="30"/>
      <c r="W261" s="30"/>
      <c r="X261" s="30"/>
      <c r="Y261" s="30"/>
      <c r="AA261" s="19"/>
      <c r="AB261" s="19"/>
      <c r="AC261" s="19"/>
      <c r="AD261" s="19"/>
      <c r="AE261" s="19"/>
      <c r="AF261" s="37"/>
    </row>
    <row r="262" spans="1:32" s="3" customFormat="1" x14ac:dyDescent="0.25">
      <c r="A262" s="7"/>
      <c r="B262" s="8"/>
      <c r="C262" s="9"/>
      <c r="D262" s="8"/>
      <c r="E262" s="194"/>
      <c r="F262" s="19"/>
      <c r="G262" s="19"/>
      <c r="J262" s="8"/>
      <c r="K262" s="30"/>
      <c r="L262" s="30"/>
      <c r="M262" s="30"/>
      <c r="N262" s="30"/>
      <c r="O262" s="30"/>
      <c r="P262" s="30"/>
      <c r="Q262" s="30"/>
      <c r="R262" s="30"/>
      <c r="S262" s="30"/>
      <c r="T262" s="30"/>
      <c r="U262" s="33"/>
      <c r="V262" s="30"/>
      <c r="W262" s="30"/>
      <c r="X262" s="30"/>
      <c r="Y262" s="30"/>
      <c r="AA262" s="19"/>
      <c r="AB262" s="19"/>
      <c r="AC262" s="19"/>
      <c r="AD262" s="19"/>
      <c r="AE262" s="19"/>
      <c r="AF262" s="37"/>
    </row>
    <row r="263" spans="1:32" s="3" customFormat="1" x14ac:dyDescent="0.25">
      <c r="A263" s="7"/>
      <c r="B263" s="8"/>
      <c r="C263" s="9"/>
      <c r="D263" s="8"/>
      <c r="E263" s="194"/>
      <c r="F263" s="19"/>
      <c r="G263" s="19"/>
      <c r="J263" s="8"/>
      <c r="K263" s="30"/>
      <c r="L263" s="30"/>
      <c r="M263" s="30"/>
      <c r="N263" s="30"/>
      <c r="O263" s="30"/>
      <c r="P263" s="30"/>
      <c r="Q263" s="30"/>
      <c r="R263" s="30"/>
      <c r="S263" s="30"/>
      <c r="T263" s="30"/>
      <c r="U263" s="33"/>
      <c r="V263" s="30"/>
      <c r="W263" s="30"/>
      <c r="X263" s="30"/>
      <c r="Y263" s="30"/>
      <c r="AA263" s="19"/>
      <c r="AB263" s="19"/>
      <c r="AC263" s="19"/>
      <c r="AD263" s="19"/>
      <c r="AE263" s="19"/>
      <c r="AF263" s="37"/>
    </row>
    <row r="264" spans="1:32" s="3" customFormat="1" x14ac:dyDescent="0.25">
      <c r="A264" s="7"/>
      <c r="B264" s="8"/>
      <c r="C264" s="9"/>
      <c r="D264" s="8"/>
      <c r="E264" s="194"/>
      <c r="F264" s="19"/>
      <c r="G264" s="19"/>
      <c r="J264" s="8"/>
      <c r="K264" s="30"/>
      <c r="L264" s="30"/>
      <c r="M264" s="30"/>
      <c r="N264" s="30"/>
      <c r="O264" s="30"/>
      <c r="P264" s="30"/>
      <c r="Q264" s="30"/>
      <c r="R264" s="30"/>
      <c r="S264" s="30"/>
      <c r="T264" s="30"/>
      <c r="U264" s="33"/>
      <c r="V264" s="30"/>
      <c r="W264" s="30"/>
      <c r="X264" s="30"/>
      <c r="Y264" s="30"/>
      <c r="AA264" s="19"/>
      <c r="AB264" s="19"/>
      <c r="AC264" s="19"/>
      <c r="AD264" s="19"/>
      <c r="AE264" s="19"/>
      <c r="AF264" s="37"/>
    </row>
    <row r="265" spans="1:32" s="3" customFormat="1" x14ac:dyDescent="0.25">
      <c r="A265" s="7"/>
      <c r="B265" s="8"/>
      <c r="C265" s="9"/>
      <c r="D265" s="8"/>
      <c r="E265" s="194"/>
      <c r="F265" s="19"/>
      <c r="G265" s="19"/>
      <c r="J265" s="8"/>
      <c r="K265" s="30"/>
      <c r="L265" s="30"/>
      <c r="M265" s="30"/>
      <c r="N265" s="30"/>
      <c r="O265" s="30"/>
      <c r="P265" s="30"/>
      <c r="Q265" s="30"/>
      <c r="R265" s="30"/>
      <c r="S265" s="30"/>
      <c r="T265" s="30"/>
      <c r="U265" s="33"/>
      <c r="V265" s="30"/>
      <c r="W265" s="30"/>
      <c r="X265" s="30"/>
      <c r="Y265" s="30"/>
      <c r="AA265" s="19"/>
      <c r="AB265" s="19"/>
      <c r="AC265" s="19"/>
      <c r="AD265" s="19"/>
      <c r="AE265" s="19"/>
      <c r="AF265" s="37"/>
    </row>
    <row r="266" spans="1:32" s="3" customFormat="1" x14ac:dyDescent="0.25">
      <c r="A266" s="7"/>
      <c r="B266" s="8"/>
      <c r="C266" s="9"/>
      <c r="D266" s="8"/>
      <c r="E266" s="194"/>
      <c r="F266" s="19"/>
      <c r="G266" s="19"/>
      <c r="J266" s="8"/>
      <c r="K266" s="30"/>
      <c r="L266" s="30"/>
      <c r="M266" s="30"/>
      <c r="N266" s="30"/>
      <c r="O266" s="30"/>
      <c r="P266" s="30"/>
      <c r="Q266" s="30"/>
      <c r="R266" s="30"/>
      <c r="S266" s="30"/>
      <c r="T266" s="30"/>
      <c r="U266" s="33"/>
      <c r="V266" s="30"/>
      <c r="W266" s="30"/>
      <c r="X266" s="30"/>
      <c r="Y266" s="30"/>
      <c r="AA266" s="19"/>
      <c r="AB266" s="19"/>
      <c r="AC266" s="19"/>
      <c r="AD266" s="19"/>
      <c r="AE266" s="19"/>
      <c r="AF266" s="37"/>
    </row>
    <row r="267" spans="1:32" s="3" customFormat="1" x14ac:dyDescent="0.25">
      <c r="A267" s="7"/>
      <c r="B267" s="8"/>
      <c r="C267" s="9"/>
      <c r="D267" s="8"/>
      <c r="E267" s="194"/>
      <c r="F267" s="19"/>
      <c r="G267" s="19"/>
      <c r="J267" s="8"/>
      <c r="K267" s="30"/>
      <c r="L267" s="30"/>
      <c r="M267" s="30"/>
      <c r="N267" s="30"/>
      <c r="O267" s="30"/>
      <c r="P267" s="30"/>
      <c r="Q267" s="30"/>
      <c r="R267" s="30"/>
      <c r="S267" s="30"/>
      <c r="T267" s="30"/>
      <c r="U267" s="33"/>
      <c r="V267" s="30"/>
      <c r="W267" s="30"/>
      <c r="X267" s="30"/>
      <c r="Y267" s="30"/>
      <c r="AA267" s="19"/>
      <c r="AB267" s="19"/>
      <c r="AC267" s="19"/>
      <c r="AD267" s="19"/>
      <c r="AE267" s="19"/>
      <c r="AF267" s="37"/>
    </row>
    <row r="268" spans="1:32" s="3" customFormat="1" x14ac:dyDescent="0.25">
      <c r="A268" s="7"/>
      <c r="B268" s="8"/>
      <c r="C268" s="9"/>
      <c r="D268" s="8"/>
      <c r="E268" s="194"/>
      <c r="F268" s="19"/>
      <c r="G268" s="19"/>
      <c r="J268" s="8"/>
      <c r="K268" s="30"/>
      <c r="L268" s="30"/>
      <c r="M268" s="30"/>
      <c r="N268" s="30"/>
      <c r="O268" s="30"/>
      <c r="P268" s="30"/>
      <c r="Q268" s="30"/>
      <c r="R268" s="30"/>
      <c r="S268" s="30"/>
      <c r="T268" s="30"/>
      <c r="U268" s="33"/>
      <c r="V268" s="30"/>
      <c r="W268" s="30"/>
      <c r="X268" s="30"/>
      <c r="Y268" s="30"/>
      <c r="AA268" s="19"/>
      <c r="AB268" s="19"/>
      <c r="AC268" s="19"/>
      <c r="AD268" s="19"/>
      <c r="AE268" s="19"/>
      <c r="AF268" s="37"/>
    </row>
    <row r="269" spans="1:32" s="3" customFormat="1" x14ac:dyDescent="0.25">
      <c r="A269" s="7"/>
      <c r="B269" s="8"/>
      <c r="C269" s="9"/>
      <c r="D269" s="8"/>
      <c r="E269" s="194"/>
      <c r="F269" s="19"/>
      <c r="G269" s="19"/>
      <c r="J269" s="8"/>
      <c r="K269" s="30"/>
      <c r="L269" s="30"/>
      <c r="M269" s="30"/>
      <c r="N269" s="30"/>
      <c r="O269" s="30"/>
      <c r="P269" s="30"/>
      <c r="Q269" s="30"/>
      <c r="R269" s="30"/>
      <c r="S269" s="30"/>
      <c r="T269" s="30"/>
      <c r="U269" s="33"/>
      <c r="V269" s="30"/>
      <c r="W269" s="30"/>
      <c r="X269" s="30"/>
      <c r="Y269" s="30"/>
      <c r="AA269" s="19"/>
      <c r="AB269" s="19"/>
      <c r="AC269" s="19"/>
      <c r="AD269" s="19"/>
      <c r="AE269" s="19"/>
      <c r="AF269" s="37"/>
    </row>
    <row r="270" spans="1:32" s="3" customFormat="1" x14ac:dyDescent="0.25">
      <c r="A270" s="7"/>
      <c r="B270" s="8"/>
      <c r="C270" s="9"/>
      <c r="D270" s="8"/>
      <c r="E270" s="194"/>
      <c r="F270" s="19"/>
      <c r="G270" s="19"/>
      <c r="J270" s="8"/>
      <c r="K270" s="30"/>
      <c r="L270" s="30"/>
      <c r="M270" s="30"/>
      <c r="N270" s="30"/>
      <c r="O270" s="30"/>
      <c r="P270" s="30"/>
      <c r="Q270" s="30"/>
      <c r="R270" s="30"/>
      <c r="S270" s="30"/>
      <c r="T270" s="30"/>
      <c r="U270" s="33"/>
      <c r="V270" s="30"/>
      <c r="W270" s="30"/>
      <c r="X270" s="30"/>
      <c r="Y270" s="30"/>
      <c r="AA270" s="19"/>
      <c r="AB270" s="19"/>
      <c r="AC270" s="19"/>
      <c r="AD270" s="19"/>
      <c r="AE270" s="19"/>
      <c r="AF270" s="37"/>
    </row>
    <row r="271" spans="1:32" s="3" customFormat="1" x14ac:dyDescent="0.25">
      <c r="A271" s="7"/>
      <c r="B271" s="8"/>
      <c r="C271" s="9"/>
      <c r="D271" s="8"/>
      <c r="E271" s="194"/>
      <c r="F271" s="104"/>
      <c r="G271" s="104"/>
      <c r="J271" s="8"/>
      <c r="K271" s="30"/>
      <c r="L271" s="30"/>
      <c r="M271" s="30"/>
      <c r="N271" s="30"/>
      <c r="O271" s="30"/>
      <c r="P271" s="30"/>
      <c r="Q271" s="30"/>
      <c r="R271" s="30"/>
      <c r="S271" s="30"/>
      <c r="T271" s="30"/>
      <c r="U271" s="33"/>
      <c r="V271" s="30"/>
      <c r="W271" s="30"/>
      <c r="X271" s="30"/>
      <c r="Y271" s="30"/>
      <c r="AA271" s="19"/>
      <c r="AB271" s="19"/>
      <c r="AC271" s="19"/>
      <c r="AD271" s="19"/>
      <c r="AE271" s="19"/>
      <c r="AF271" s="37"/>
    </row>
    <row r="272" spans="1:32" s="3" customFormat="1" x14ac:dyDescent="0.25">
      <c r="A272" s="7"/>
      <c r="B272" s="8"/>
      <c r="C272" s="9"/>
      <c r="D272" s="8"/>
      <c r="E272" s="194"/>
      <c r="F272" s="104"/>
      <c r="G272" s="104"/>
      <c r="J272" s="8"/>
      <c r="K272" s="30"/>
      <c r="L272" s="30"/>
      <c r="M272" s="30"/>
      <c r="N272" s="30"/>
      <c r="O272" s="30"/>
      <c r="P272" s="30"/>
      <c r="Q272" s="30"/>
      <c r="R272" s="30"/>
      <c r="S272" s="30"/>
      <c r="T272" s="30"/>
      <c r="U272" s="33"/>
      <c r="V272" s="30"/>
      <c r="W272" s="30"/>
      <c r="X272" s="30"/>
      <c r="Y272" s="30"/>
      <c r="AA272" s="19"/>
      <c r="AB272" s="19"/>
      <c r="AC272" s="19"/>
      <c r="AD272" s="19"/>
      <c r="AE272" s="19"/>
      <c r="AF272" s="37"/>
    </row>
    <row r="273" spans="1:32" s="3" customFormat="1" x14ac:dyDescent="0.25">
      <c r="A273" s="7"/>
      <c r="B273" s="8"/>
      <c r="C273" s="9"/>
      <c r="D273" s="8"/>
      <c r="E273" s="194"/>
      <c r="F273" s="104"/>
      <c r="G273" s="104"/>
      <c r="J273" s="8"/>
      <c r="K273" s="30"/>
      <c r="L273" s="30"/>
      <c r="M273" s="30"/>
      <c r="N273" s="30"/>
      <c r="O273" s="30"/>
      <c r="P273" s="30"/>
      <c r="Q273" s="30"/>
      <c r="R273" s="30"/>
      <c r="S273" s="30"/>
      <c r="T273" s="30"/>
      <c r="U273" s="33"/>
      <c r="V273" s="30"/>
      <c r="W273" s="30"/>
      <c r="X273" s="30"/>
      <c r="Y273" s="30"/>
      <c r="AA273" s="19"/>
      <c r="AB273" s="19"/>
      <c r="AC273" s="19"/>
      <c r="AD273" s="19"/>
      <c r="AE273" s="19"/>
      <c r="AF273" s="37"/>
    </row>
    <row r="274" spans="1:32" s="3" customFormat="1" x14ac:dyDescent="0.25">
      <c r="A274" s="7"/>
      <c r="B274" s="8"/>
      <c r="C274" s="9"/>
      <c r="D274" s="8"/>
      <c r="E274" s="194"/>
      <c r="F274" s="104"/>
      <c r="G274" s="104"/>
      <c r="J274" s="8"/>
      <c r="K274" s="30"/>
      <c r="L274" s="30"/>
      <c r="M274" s="30"/>
      <c r="N274" s="30"/>
      <c r="O274" s="30"/>
      <c r="P274" s="30"/>
      <c r="Q274" s="30"/>
      <c r="R274" s="30"/>
      <c r="S274" s="30"/>
      <c r="T274" s="30"/>
      <c r="U274" s="33"/>
      <c r="V274" s="30"/>
      <c r="W274" s="30"/>
      <c r="X274" s="30"/>
      <c r="Y274" s="30"/>
      <c r="AA274" s="19"/>
      <c r="AB274" s="19"/>
      <c r="AC274" s="19"/>
      <c r="AD274" s="19"/>
      <c r="AE274" s="19"/>
      <c r="AF274" s="37"/>
    </row>
  </sheetData>
  <autoFilter ref="A4:AG102" xr:uid="{5D4A7991-FE16-4E2C-980A-AFF7F27A62C5}"/>
  <mergeCells count="1">
    <mergeCell ref="Q1:T1"/>
  </mergeCells>
  <phoneticPr fontId="14" type="noConversion"/>
  <conditionalFormatting sqref="K5:K89">
    <cfRule type="cellIs" dxfId="2" priority="1" operator="between">
      <formula>1</formula>
      <formula>11</formula>
    </cfRule>
    <cfRule type="cellIs" dxfId="1" priority="2" operator="equal">
      <formula>1</formula>
    </cfRule>
  </conditionalFormatting>
  <hyperlinks>
    <hyperlink ref="AE1:AG1" r:id="rId1" display="Applied to Whole Fed Base Rate w/Adj / NOT CALCULATED IN FY2023 / Indicator will determine who gets HAC reduction" xr:uid="{57F1A8C5-4977-497D-8997-BC0EFA91B4D5}"/>
    <hyperlink ref="U2" r:id="rId2" display="https://hcpf.colorado.gov/inpatient-hospital-payment" xr:uid="{04924887-E63A-4899-88DE-6EB19750B3AC}"/>
    <hyperlink ref="AE2" location="'FY25 IMPACT FILE IFC-OTHER TBLS'!A1" display="'FY25 IMPACT FILE IFC-OTHER TBLS'!A1" xr:uid="{E7801494-BC5E-42B9-9E85-DCB8C4808A3F}"/>
    <hyperlink ref="K1" location="'FY25 IMPACT FILE IFC-OTHER TBLS'!A1" display="FY 2025 CMS IMPACT FILE IFC" xr:uid="{F71D6138-7E09-4E48-83B8-80820BC2497B}"/>
    <hyperlink ref="U1" location="'GME Add-On Posting'!A1" display="Link to GME Cost Add-on Worksheet" xr:uid="{AD51230A-1ACB-491C-B55D-06110C19AA0E}"/>
    <hyperlink ref="M1" location="'FY 2025 IFC Table 1A-1E'!A1" display="Link to FY 2025 IFC Table 1A-1E" xr:uid="{8CCFF7FC-8167-4162-9EB5-C424707AFCA8}"/>
    <hyperlink ref="Z1" location="'Non-PPS IME Add-On Posting'!A1" display="Link to Calculated IME for Non-PPS Hospitals" xr:uid="{9E586671-D456-4C44-9DE7-2723F6A787C6}"/>
    <hyperlink ref="AA1" location="'FY25 IMPACT FILE IFC-OTHER TBLS'!A1" display="Link to Other Tables for VBP &amp; Readmission Amount" xr:uid="{9BEBDE5B-68CC-4D9E-A4BB-5AC426663C3A}"/>
  </hyperlinks>
  <pageMargins left="0.7" right="0.7" top="0.75" bottom="0.75" header="0.3" footer="0.3"/>
  <pageSetup orientation="portrait" horizontalDpi="1200" verticalDpi="1200"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E95B3-BEA7-4B9B-83C2-B5A72D92D5EA}">
  <sheetPr>
    <tabColor theme="9" tint="0.59999389629810485"/>
  </sheetPr>
  <dimension ref="A1:BP86"/>
  <sheetViews>
    <sheetView workbookViewId="0">
      <pane xSplit="11" ySplit="2" topLeftCell="L3" activePane="bottomRight" state="frozen"/>
      <selection pane="topRight" activeCell="L1" sqref="L1"/>
      <selection pane="bottomLeft" activeCell="A3" sqref="A3"/>
      <selection pane="bottomRight" activeCell="W35" sqref="W35"/>
    </sheetView>
  </sheetViews>
  <sheetFormatPr defaultRowHeight="15" x14ac:dyDescent="0.25"/>
  <cols>
    <col min="1" max="1" width="10.42578125" style="61" customWidth="1"/>
    <col min="2" max="2" width="47.85546875" customWidth="1"/>
    <col min="3" max="3" width="12.140625" hidden="1" customWidth="1"/>
    <col min="4" max="4" width="10.85546875" hidden="1" customWidth="1"/>
    <col min="5" max="5" width="12" hidden="1" customWidth="1"/>
    <col min="6" max="6" width="15.85546875" hidden="1" customWidth="1"/>
    <col min="7" max="7" width="9.28515625" hidden="1" customWidth="1"/>
    <col min="8" max="8" width="8.42578125" hidden="1" customWidth="1"/>
    <col min="9" max="10" width="8.85546875" hidden="1" customWidth="1"/>
    <col min="11" max="11" width="8.42578125" hidden="1" customWidth="1"/>
    <col min="12" max="12" width="9.85546875" style="61" customWidth="1"/>
    <col min="13" max="13" width="6.85546875" hidden="1" customWidth="1"/>
    <col min="14" max="14" width="9" hidden="1" customWidth="1"/>
    <col min="15" max="15" width="14.42578125" hidden="1" customWidth="1"/>
    <col min="16" max="16" width="11" hidden="1" customWidth="1"/>
    <col min="17" max="17" width="11.42578125" hidden="1" customWidth="1"/>
    <col min="18" max="18" width="11.7109375" hidden="1" customWidth="1"/>
    <col min="19" max="19" width="9.42578125" hidden="1" customWidth="1"/>
    <col min="20" max="20" width="12" hidden="1" customWidth="1"/>
    <col min="21" max="21" width="5.28515625" hidden="1" customWidth="1"/>
    <col min="22" max="22" width="8" hidden="1" customWidth="1"/>
    <col min="23" max="23" width="10" style="61" bestFit="1" customWidth="1"/>
    <col min="24" max="24" width="9.7109375" style="61" bestFit="1" customWidth="1"/>
    <col min="25" max="25" width="12" hidden="1" customWidth="1"/>
    <col min="26" max="26" width="11.42578125" hidden="1" customWidth="1"/>
    <col min="27" max="27" width="11.28515625" hidden="1" customWidth="1"/>
    <col min="28" max="28" width="9.7109375" hidden="1" customWidth="1"/>
    <col min="29" max="29" width="11.42578125" hidden="1" customWidth="1"/>
    <col min="30" max="30" width="13.7109375" hidden="1" customWidth="1"/>
    <col min="31" max="31" width="12.85546875" hidden="1" customWidth="1"/>
    <col min="32" max="32" width="19.140625" hidden="1" customWidth="1"/>
    <col min="33" max="33" width="10.28515625" hidden="1" customWidth="1"/>
    <col min="34" max="34" width="8.85546875" hidden="1" customWidth="1"/>
    <col min="35" max="35" width="9.42578125" style="61" customWidth="1"/>
    <col min="36" max="36" width="9" style="61" hidden="1" customWidth="1"/>
    <col min="37" max="37" width="7.7109375" style="61" hidden="1" customWidth="1"/>
    <col min="38" max="38" width="9.85546875" style="61" hidden="1" customWidth="1"/>
    <col min="39" max="39" width="9.28515625" style="61" hidden="1" customWidth="1"/>
    <col min="40" max="40" width="11.28515625" style="61" hidden="1" customWidth="1"/>
    <col min="41" max="41" width="14.140625" style="61" hidden="1" customWidth="1"/>
    <col min="42" max="42" width="16.28515625" style="61" hidden="1" customWidth="1"/>
    <col min="43" max="43" width="10.140625" style="61" hidden="1" customWidth="1"/>
    <col min="44" max="44" width="8.85546875" style="61" hidden="1" customWidth="1"/>
    <col min="45" max="45" width="10.42578125" style="61" hidden="1" customWidth="1"/>
    <col min="46" max="46" width="14" style="61" hidden="1" customWidth="1"/>
    <col min="47" max="47" width="15.7109375" style="61" hidden="1" customWidth="1"/>
    <col min="48" max="48" width="15.7109375" style="61" customWidth="1"/>
    <col min="49" max="50" width="11.42578125" hidden="1" customWidth="1"/>
    <col min="51" max="51" width="12" hidden="1" customWidth="1"/>
    <col min="52" max="52" width="11" hidden="1" customWidth="1"/>
    <col min="53" max="53" width="12" hidden="1" customWidth="1"/>
    <col min="54" max="54" width="16.140625" hidden="1" customWidth="1"/>
    <col min="55" max="55" width="12.28515625" hidden="1" customWidth="1"/>
    <col min="56" max="56" width="11.28515625" hidden="1" customWidth="1"/>
    <col min="57" max="57" width="11.28515625" style="61" customWidth="1"/>
    <col min="58" max="58" width="11.42578125" style="61" customWidth="1"/>
    <col min="59" max="60" width="10.140625" style="61" hidden="1" customWidth="1"/>
    <col min="61" max="62" width="11.85546875" style="61" hidden="1" customWidth="1"/>
    <col min="63" max="63" width="17.85546875" style="61" customWidth="1"/>
    <col min="64" max="64" width="27.42578125" style="61" customWidth="1"/>
    <col min="65" max="65" width="21.140625" style="118" customWidth="1"/>
    <col min="66" max="66" width="25.85546875" customWidth="1"/>
  </cols>
  <sheetData>
    <row r="1" spans="1:68" ht="18.75" x14ac:dyDescent="0.3">
      <c r="A1" s="206" t="s">
        <v>446</v>
      </c>
      <c r="B1" s="70"/>
      <c r="C1" s="159"/>
      <c r="D1" s="160"/>
      <c r="E1" s="160"/>
      <c r="F1" s="161"/>
      <c r="G1" s="161"/>
      <c r="H1" s="159"/>
      <c r="I1" s="71"/>
      <c r="J1" s="70"/>
      <c r="K1" s="70"/>
      <c r="L1" s="71"/>
      <c r="M1" s="70"/>
      <c r="N1" s="70"/>
      <c r="O1" s="70"/>
      <c r="P1" s="70"/>
      <c r="Q1" s="70"/>
      <c r="R1" s="70"/>
      <c r="S1" s="70"/>
      <c r="T1" s="70"/>
      <c r="U1" s="70"/>
      <c r="V1" s="70"/>
      <c r="W1" s="71"/>
      <c r="X1" s="71"/>
      <c r="Y1" s="70"/>
      <c r="Z1" s="70"/>
      <c r="AA1" s="70"/>
      <c r="AB1" s="70"/>
      <c r="AC1" s="70"/>
      <c r="AD1" s="70"/>
      <c r="AE1" s="70"/>
      <c r="AF1" s="70"/>
      <c r="AG1" s="70"/>
      <c r="AH1" s="70"/>
      <c r="AI1" s="71"/>
      <c r="AJ1" s="71"/>
      <c r="AK1" s="71"/>
      <c r="AL1" s="71"/>
      <c r="AM1" s="71"/>
      <c r="AN1" s="71"/>
      <c r="AO1" s="71"/>
      <c r="AP1" s="71"/>
      <c r="AQ1" s="71"/>
      <c r="AR1" s="71"/>
      <c r="AS1" s="71"/>
      <c r="AT1" s="71"/>
      <c r="AU1" s="71"/>
      <c r="AV1" s="71"/>
      <c r="AW1" s="70"/>
      <c r="AX1" s="70"/>
      <c r="AY1" s="70"/>
      <c r="AZ1" s="70"/>
      <c r="BA1" s="70"/>
      <c r="BB1" s="70"/>
      <c r="BC1" s="70"/>
      <c r="BD1" s="161"/>
      <c r="BE1" s="71"/>
      <c r="BF1" s="71"/>
      <c r="BG1" s="70"/>
      <c r="BH1" s="70"/>
      <c r="BI1" s="70"/>
      <c r="BJ1" s="70"/>
      <c r="BK1" s="41" t="s">
        <v>447</v>
      </c>
      <c r="BL1" s="400" t="s">
        <v>448</v>
      </c>
      <c r="BM1" s="401"/>
      <c r="BN1" s="402"/>
    </row>
    <row r="2" spans="1:68" ht="150.75" customHeight="1" x14ac:dyDescent="0.25">
      <c r="A2" s="475" t="s">
        <v>449</v>
      </c>
      <c r="B2" s="476" t="s">
        <v>450</v>
      </c>
      <c r="C2" s="142" t="s">
        <v>451</v>
      </c>
      <c r="D2" s="142" t="s">
        <v>452</v>
      </c>
      <c r="E2" s="142" t="s">
        <v>453</v>
      </c>
      <c r="F2" s="142" t="s">
        <v>454</v>
      </c>
      <c r="G2" s="142" t="s">
        <v>455</v>
      </c>
      <c r="H2" s="142" t="s">
        <v>456</v>
      </c>
      <c r="I2" s="143" t="s">
        <v>457</v>
      </c>
      <c r="J2" s="143" t="s">
        <v>458</v>
      </c>
      <c r="K2" s="143" t="s">
        <v>459</v>
      </c>
      <c r="L2" s="199" t="s">
        <v>460</v>
      </c>
      <c r="M2" s="200" t="s">
        <v>461</v>
      </c>
      <c r="N2" s="199" t="s">
        <v>462</v>
      </c>
      <c r="O2" s="199" t="s">
        <v>463</v>
      </c>
      <c r="P2" s="199" t="s">
        <v>464</v>
      </c>
      <c r="Q2" s="199" t="s">
        <v>465</v>
      </c>
      <c r="R2" s="200" t="s">
        <v>466</v>
      </c>
      <c r="S2" s="199" t="s">
        <v>467</v>
      </c>
      <c r="T2" s="199" t="s">
        <v>468</v>
      </c>
      <c r="U2" s="199" t="s">
        <v>212</v>
      </c>
      <c r="V2" s="199" t="s">
        <v>469</v>
      </c>
      <c r="W2" s="199" t="s">
        <v>470</v>
      </c>
      <c r="X2" s="199" t="s">
        <v>471</v>
      </c>
      <c r="Y2" s="199" t="s">
        <v>472</v>
      </c>
      <c r="Z2" s="199" t="s">
        <v>473</v>
      </c>
      <c r="AA2" s="199" t="s">
        <v>474</v>
      </c>
      <c r="AB2" s="201" t="s">
        <v>475</v>
      </c>
      <c r="AC2" s="202" t="s">
        <v>476</v>
      </c>
      <c r="AD2" s="199" t="s">
        <v>477</v>
      </c>
      <c r="AE2" s="203" t="s">
        <v>478</v>
      </c>
      <c r="AF2" s="202" t="s">
        <v>479</v>
      </c>
      <c r="AG2" s="204" t="s">
        <v>480</v>
      </c>
      <c r="AH2" s="204" t="s">
        <v>481</v>
      </c>
      <c r="AI2" s="199" t="s">
        <v>482</v>
      </c>
      <c r="AJ2" s="202" t="s">
        <v>483</v>
      </c>
      <c r="AK2" s="199" t="s">
        <v>484</v>
      </c>
      <c r="AL2" s="199" t="s">
        <v>485</v>
      </c>
      <c r="AM2" s="199" t="s">
        <v>486</v>
      </c>
      <c r="AN2" s="199" t="s">
        <v>487</v>
      </c>
      <c r="AO2" s="199" t="s">
        <v>488</v>
      </c>
      <c r="AP2" s="199" t="s">
        <v>489</v>
      </c>
      <c r="AQ2" s="199" t="s">
        <v>490</v>
      </c>
      <c r="AR2" s="199" t="s">
        <v>491</v>
      </c>
      <c r="AS2" s="199" t="s">
        <v>492</v>
      </c>
      <c r="AT2" s="199" t="s">
        <v>493</v>
      </c>
      <c r="AU2" s="199" t="s">
        <v>494</v>
      </c>
      <c r="AV2" s="200" t="s">
        <v>495</v>
      </c>
      <c r="AW2" s="143" t="s">
        <v>496</v>
      </c>
      <c r="AX2" s="163" t="s">
        <v>497</v>
      </c>
      <c r="AY2" s="163" t="s">
        <v>498</v>
      </c>
      <c r="AZ2" s="162" t="s">
        <v>499</v>
      </c>
      <c r="BA2" s="162" t="s">
        <v>500</v>
      </c>
      <c r="BB2" s="162" t="s">
        <v>501</v>
      </c>
      <c r="BC2" s="163" t="s">
        <v>502</v>
      </c>
      <c r="BD2" s="162" t="s">
        <v>503</v>
      </c>
      <c r="BE2" s="207" t="s">
        <v>504</v>
      </c>
      <c r="BF2" s="199" t="s">
        <v>505</v>
      </c>
      <c r="BG2" s="143" t="s">
        <v>506</v>
      </c>
      <c r="BH2" s="143" t="s">
        <v>507</v>
      </c>
      <c r="BI2" s="143" t="s">
        <v>508</v>
      </c>
      <c r="BJ2" s="143" t="s">
        <v>509</v>
      </c>
      <c r="BK2" s="374" t="s">
        <v>18</v>
      </c>
      <c r="BL2" s="519" t="s">
        <v>510</v>
      </c>
      <c r="BM2" s="366" t="s">
        <v>511</v>
      </c>
      <c r="BN2" s="262" t="s">
        <v>512</v>
      </c>
    </row>
    <row r="3" spans="1:68" x14ac:dyDescent="0.25">
      <c r="A3" s="79" t="s">
        <v>140</v>
      </c>
      <c r="B3" t="s">
        <v>288</v>
      </c>
      <c r="C3" s="72" t="s">
        <v>513</v>
      </c>
      <c r="D3" s="72" t="s">
        <v>513</v>
      </c>
      <c r="E3" s="72" t="s">
        <v>513</v>
      </c>
      <c r="F3" s="72" t="s">
        <v>513</v>
      </c>
      <c r="G3" s="72" t="s">
        <v>514</v>
      </c>
      <c r="H3" s="72" t="s">
        <v>515</v>
      </c>
      <c r="I3" s="72" t="s">
        <v>516</v>
      </c>
      <c r="J3" s="72" t="s">
        <v>516</v>
      </c>
      <c r="K3" s="72" t="s">
        <v>79</v>
      </c>
      <c r="L3" s="61">
        <v>1.0104</v>
      </c>
      <c r="M3" s="72"/>
      <c r="N3" s="72"/>
      <c r="O3" s="72"/>
      <c r="P3" s="72"/>
      <c r="R3">
        <v>1</v>
      </c>
      <c r="S3">
        <v>0.1517</v>
      </c>
      <c r="T3">
        <v>0.29149999999999998</v>
      </c>
      <c r="U3">
        <v>202</v>
      </c>
      <c r="V3">
        <v>107</v>
      </c>
      <c r="W3" s="61">
        <v>7.9469999999999999E-2</v>
      </c>
      <c r="X3" s="61">
        <v>8.5739999999999997E-2</v>
      </c>
      <c r="Y3">
        <v>0.43</v>
      </c>
      <c r="Z3">
        <v>6.173E-2</v>
      </c>
      <c r="AA3">
        <v>9.0980000000000005E-2</v>
      </c>
      <c r="AB3">
        <v>6.173E-2</v>
      </c>
      <c r="AC3">
        <v>3.4299999999999999E-4</v>
      </c>
      <c r="AD3">
        <v>1283.97</v>
      </c>
      <c r="AE3">
        <v>3.5399999999999999E-4</v>
      </c>
      <c r="AF3">
        <v>1199.72</v>
      </c>
      <c r="AG3">
        <v>0.26800000000000002</v>
      </c>
      <c r="AH3">
        <v>2.9000000000000001E-2</v>
      </c>
      <c r="AI3" s="61">
        <v>0</v>
      </c>
      <c r="AK3" s="61">
        <v>1414</v>
      </c>
      <c r="AL3" s="174">
        <v>1394.58</v>
      </c>
      <c r="AM3" s="118">
        <v>2.2073</v>
      </c>
      <c r="AN3" s="118">
        <v>2.202</v>
      </c>
      <c r="AO3" s="174">
        <v>1654.03</v>
      </c>
      <c r="AP3" s="118">
        <v>2.1393</v>
      </c>
      <c r="AQ3" s="174">
        <v>1396.32</v>
      </c>
      <c r="AR3" s="118">
        <v>2.2031999999999998</v>
      </c>
      <c r="AS3" s="118">
        <v>2.1997</v>
      </c>
      <c r="AT3" s="174">
        <v>1656.89</v>
      </c>
      <c r="AU3" s="118">
        <v>2.1349999999999998</v>
      </c>
      <c r="AV3" s="205">
        <v>1.0071102997919843</v>
      </c>
      <c r="AW3">
        <v>1</v>
      </c>
      <c r="AX3">
        <v>3.8429999999999999E-2</v>
      </c>
      <c r="AY3">
        <v>7.4719999999999995E-2</v>
      </c>
      <c r="AZ3">
        <v>0.20430999999999999</v>
      </c>
      <c r="BA3">
        <v>0.36549999999999999</v>
      </c>
      <c r="BB3" s="198">
        <v>1</v>
      </c>
      <c r="BC3">
        <v>0.98704000000000003</v>
      </c>
      <c r="BD3" s="74">
        <v>0.99990000000000001</v>
      </c>
      <c r="BE3" s="79" t="s">
        <v>517</v>
      </c>
      <c r="BF3" s="79" t="s">
        <v>517</v>
      </c>
      <c r="BG3" s="72" t="s">
        <v>280</v>
      </c>
      <c r="BH3" s="72"/>
      <c r="BI3"/>
      <c r="BJ3">
        <v>1</v>
      </c>
      <c r="BK3" s="61" t="str">
        <f>_xlfn.CONCAT(BE3,BF3)</f>
        <v>00</v>
      </c>
      <c r="BL3" s="61" t="s">
        <v>518</v>
      </c>
      <c r="BM3" s="61">
        <v>1</v>
      </c>
      <c r="BN3" s="146">
        <v>0.99021759850000002</v>
      </c>
    </row>
    <row r="4" spans="1:68" x14ac:dyDescent="0.25">
      <c r="A4" s="79" t="s">
        <v>290</v>
      </c>
      <c r="B4" t="s">
        <v>291</v>
      </c>
      <c r="C4" s="72" t="s">
        <v>519</v>
      </c>
      <c r="D4" s="72" t="s">
        <v>519</v>
      </c>
      <c r="E4" s="72" t="s">
        <v>519</v>
      </c>
      <c r="F4" s="72" t="s">
        <v>519</v>
      </c>
      <c r="G4" s="72" t="s">
        <v>520</v>
      </c>
      <c r="H4" s="72" t="s">
        <v>515</v>
      </c>
      <c r="I4" s="72" t="s">
        <v>516</v>
      </c>
      <c r="J4" s="72" t="s">
        <v>516</v>
      </c>
      <c r="K4" s="72" t="s">
        <v>79</v>
      </c>
      <c r="L4" s="61">
        <v>1.0083</v>
      </c>
      <c r="M4" s="72"/>
      <c r="N4" s="72"/>
      <c r="O4" s="72"/>
      <c r="P4" s="72"/>
      <c r="R4">
        <v>1</v>
      </c>
      <c r="S4">
        <v>0</v>
      </c>
      <c r="T4">
        <v>0</v>
      </c>
      <c r="U4">
        <v>127</v>
      </c>
      <c r="V4">
        <v>27</v>
      </c>
      <c r="W4" s="61">
        <v>0</v>
      </c>
      <c r="X4" s="61">
        <v>0</v>
      </c>
      <c r="Y4">
        <v>0.30409999999999998</v>
      </c>
      <c r="Z4">
        <v>3.576E-2</v>
      </c>
      <c r="AA4">
        <v>6.3519999999999993E-2</v>
      </c>
      <c r="AB4">
        <v>3.576E-2</v>
      </c>
      <c r="AC4">
        <v>1.7899999999999999E-4</v>
      </c>
      <c r="AD4">
        <v>1572.13</v>
      </c>
      <c r="AE4">
        <v>1.8599999999999999E-4</v>
      </c>
      <c r="AF4">
        <v>1458.6</v>
      </c>
      <c r="AG4">
        <v>0.28599999999999998</v>
      </c>
      <c r="AH4">
        <v>0.04</v>
      </c>
      <c r="AI4" s="61">
        <v>0</v>
      </c>
      <c r="AK4" s="61">
        <v>578</v>
      </c>
      <c r="AL4" s="174">
        <v>543.44000000000005</v>
      </c>
      <c r="AM4" s="118">
        <v>1.7443</v>
      </c>
      <c r="AN4" s="118">
        <v>1.7218</v>
      </c>
      <c r="AO4" s="174"/>
      <c r="AP4" s="118"/>
      <c r="AQ4" s="174">
        <v>545.74</v>
      </c>
      <c r="AR4" s="118">
        <v>1.7373000000000001</v>
      </c>
      <c r="AS4" s="118">
        <v>1.7146999999999999</v>
      </c>
      <c r="AT4" s="174"/>
      <c r="AU4" s="118"/>
      <c r="AV4" s="205">
        <v>1.0056764320069</v>
      </c>
      <c r="AW4">
        <v>1</v>
      </c>
      <c r="AX4">
        <v>4.9020000000000001E-2</v>
      </c>
      <c r="AY4">
        <v>0.13184000000000001</v>
      </c>
      <c r="AZ4">
        <v>0.26738000000000001</v>
      </c>
      <c r="BA4">
        <v>0.26889999999999997</v>
      </c>
      <c r="BB4" s="73">
        <v>1</v>
      </c>
      <c r="BC4">
        <v>1.01322</v>
      </c>
      <c r="BD4" s="74">
        <v>0.99839999999999995</v>
      </c>
      <c r="BE4" s="79" t="s">
        <v>517</v>
      </c>
      <c r="BF4" s="79" t="s">
        <v>517</v>
      </c>
      <c r="BG4" s="72" t="s">
        <v>280</v>
      </c>
      <c r="BH4" s="72"/>
      <c r="BI4"/>
      <c r="BJ4">
        <v>1</v>
      </c>
      <c r="BK4" s="61" t="str">
        <f t="shared" ref="BK4:BK52" si="0">_xlfn.CONCAT(BE4,BF4)</f>
        <v>00</v>
      </c>
      <c r="BL4" s="61" t="s">
        <v>518</v>
      </c>
      <c r="BM4" s="118">
        <v>0.99819999999999998</v>
      </c>
      <c r="BN4" s="146">
        <v>1.0095340801999999</v>
      </c>
      <c r="BP4" s="170" t="s">
        <v>521</v>
      </c>
    </row>
    <row r="5" spans="1:68" x14ac:dyDescent="0.25">
      <c r="A5" s="79" t="s">
        <v>293</v>
      </c>
      <c r="B5" t="s">
        <v>294</v>
      </c>
      <c r="C5" s="72" t="s">
        <v>522</v>
      </c>
      <c r="D5" s="72" t="s">
        <v>522</v>
      </c>
      <c r="E5" s="72" t="s">
        <v>522</v>
      </c>
      <c r="F5" s="72" t="s">
        <v>522</v>
      </c>
      <c r="G5" s="72" t="s">
        <v>523</v>
      </c>
      <c r="H5" s="72" t="s">
        <v>515</v>
      </c>
      <c r="I5" s="72" t="s">
        <v>524</v>
      </c>
      <c r="J5" s="72" t="s">
        <v>524</v>
      </c>
      <c r="K5" s="72" t="s">
        <v>79</v>
      </c>
      <c r="L5" s="61">
        <v>1.0083</v>
      </c>
      <c r="M5" s="72"/>
      <c r="N5" s="72"/>
      <c r="O5" s="72"/>
      <c r="P5" s="72"/>
      <c r="R5">
        <v>1</v>
      </c>
      <c r="S5">
        <v>0</v>
      </c>
      <c r="T5">
        <v>0</v>
      </c>
      <c r="U5">
        <v>89</v>
      </c>
      <c r="V5">
        <v>35</v>
      </c>
      <c r="W5" s="61">
        <v>0</v>
      </c>
      <c r="X5" s="61">
        <v>0</v>
      </c>
      <c r="Y5">
        <v>0.37559999999999999</v>
      </c>
      <c r="Z5">
        <v>0.03</v>
      </c>
      <c r="AA5">
        <v>0</v>
      </c>
      <c r="AB5">
        <v>0.03</v>
      </c>
      <c r="AC5">
        <v>1.3100000000000001E-4</v>
      </c>
      <c r="AD5">
        <v>1515.24</v>
      </c>
      <c r="AE5">
        <v>1.0399999999999999E-4</v>
      </c>
      <c r="AF5">
        <v>1198.6300000000001</v>
      </c>
      <c r="AG5">
        <v>0.308</v>
      </c>
      <c r="AH5">
        <v>3.2000000000000001E-2</v>
      </c>
      <c r="AI5" s="61">
        <v>0</v>
      </c>
      <c r="AK5" s="61">
        <v>464</v>
      </c>
      <c r="AL5" s="174">
        <v>442.84</v>
      </c>
      <c r="AM5" s="118">
        <v>1.7384999999999999</v>
      </c>
      <c r="AN5" s="118">
        <v>1.7259</v>
      </c>
      <c r="AO5" s="174"/>
      <c r="AP5" s="118"/>
      <c r="AQ5" s="174">
        <v>444.54</v>
      </c>
      <c r="AR5" s="118">
        <v>1.7432000000000001</v>
      </c>
      <c r="AS5" s="118">
        <v>1.7324999999999999</v>
      </c>
      <c r="AT5" s="174"/>
      <c r="AU5" s="118"/>
      <c r="AV5" s="205">
        <v>1.0056764320069</v>
      </c>
      <c r="AW5">
        <v>1</v>
      </c>
      <c r="AX5">
        <v>3.092E-2</v>
      </c>
      <c r="AY5">
        <v>5.3960000000000001E-2</v>
      </c>
      <c r="AZ5">
        <v>0.14021</v>
      </c>
      <c r="BA5">
        <v>0.34799999999999998</v>
      </c>
      <c r="BB5" s="73">
        <v>1</v>
      </c>
      <c r="BC5">
        <v>0.99553999999999998</v>
      </c>
      <c r="BD5" s="74">
        <v>1</v>
      </c>
      <c r="BE5" s="79" t="s">
        <v>517</v>
      </c>
      <c r="BF5" s="79" t="s">
        <v>517</v>
      </c>
      <c r="BG5" s="72" t="s">
        <v>280</v>
      </c>
      <c r="BH5" s="72"/>
      <c r="BI5"/>
      <c r="BJ5">
        <v>1.0261359999999993</v>
      </c>
      <c r="BK5" s="61" t="str">
        <f t="shared" si="0"/>
        <v>00</v>
      </c>
      <c r="BL5" s="61" t="s">
        <v>525</v>
      </c>
      <c r="BM5" s="61">
        <v>1</v>
      </c>
      <c r="BN5" s="146">
        <v>0.99528910719999997</v>
      </c>
    </row>
    <row r="6" spans="1:68" x14ac:dyDescent="0.25">
      <c r="A6" s="79" t="s">
        <v>296</v>
      </c>
      <c r="B6" t="s">
        <v>297</v>
      </c>
      <c r="C6" s="72" t="s">
        <v>526</v>
      </c>
      <c r="D6" s="72" t="s">
        <v>526</v>
      </c>
      <c r="E6" s="72" t="s">
        <v>526</v>
      </c>
      <c r="F6" s="72" t="s">
        <v>526</v>
      </c>
      <c r="G6" s="72" t="s">
        <v>527</v>
      </c>
      <c r="H6" s="72" t="s">
        <v>515</v>
      </c>
      <c r="I6" s="72" t="s">
        <v>528</v>
      </c>
      <c r="J6" s="72" t="s">
        <v>528</v>
      </c>
      <c r="K6" s="72" t="s">
        <v>79</v>
      </c>
      <c r="L6" s="61">
        <v>1.0083</v>
      </c>
      <c r="M6" s="72"/>
      <c r="N6" s="72"/>
      <c r="O6" s="72"/>
      <c r="P6" s="72"/>
      <c r="R6">
        <v>1</v>
      </c>
      <c r="S6">
        <v>0</v>
      </c>
      <c r="T6">
        <v>0</v>
      </c>
      <c r="U6">
        <v>47</v>
      </c>
      <c r="V6">
        <v>17</v>
      </c>
      <c r="W6" s="61">
        <v>0</v>
      </c>
      <c r="X6" s="61">
        <v>0</v>
      </c>
      <c r="Y6">
        <v>0.2954</v>
      </c>
      <c r="Z6">
        <v>0.03</v>
      </c>
      <c r="AA6">
        <v>0</v>
      </c>
      <c r="AB6">
        <v>0.03</v>
      </c>
      <c r="AD6">
        <v>0</v>
      </c>
      <c r="AF6">
        <v>0</v>
      </c>
      <c r="AG6">
        <v>0.34399999999999997</v>
      </c>
      <c r="AH6">
        <v>1.9E-2</v>
      </c>
      <c r="AI6" s="61">
        <v>16</v>
      </c>
      <c r="AJ6" s="61">
        <v>7186.68</v>
      </c>
      <c r="AK6" s="61">
        <v>650</v>
      </c>
      <c r="AL6" s="174">
        <v>625.84</v>
      </c>
      <c r="AM6" s="118">
        <v>1.5858000000000001</v>
      </c>
      <c r="AN6" s="118">
        <v>1.5771999999999999</v>
      </c>
      <c r="AO6" s="174"/>
      <c r="AP6" s="118"/>
      <c r="AQ6" s="174">
        <v>627.61</v>
      </c>
      <c r="AR6" s="118">
        <v>1.5839000000000001</v>
      </c>
      <c r="AS6" s="118">
        <v>1.5763</v>
      </c>
      <c r="AT6" s="174"/>
      <c r="AU6" s="118"/>
      <c r="AV6" s="61">
        <v>1.0056764320069</v>
      </c>
      <c r="AW6">
        <v>1</v>
      </c>
      <c r="AX6">
        <v>8.6999999999999994E-3</v>
      </c>
      <c r="AY6">
        <v>4.13E-3</v>
      </c>
      <c r="AZ6">
        <v>0.31935000000000002</v>
      </c>
      <c r="BA6">
        <v>0.26129999999999998</v>
      </c>
      <c r="BB6" s="73">
        <v>1</v>
      </c>
      <c r="BC6">
        <v>1.00373</v>
      </c>
      <c r="BD6" s="74">
        <v>1</v>
      </c>
      <c r="BE6" s="79" t="s">
        <v>517</v>
      </c>
      <c r="BF6" s="79" t="s">
        <v>517</v>
      </c>
      <c r="BG6" s="72" t="s">
        <v>280</v>
      </c>
      <c r="BH6" s="72"/>
      <c r="BI6"/>
      <c r="BJ6">
        <v>1</v>
      </c>
      <c r="BK6" s="61" t="str">
        <f t="shared" si="0"/>
        <v>00</v>
      </c>
      <c r="BL6" s="61" t="s">
        <v>518</v>
      </c>
      <c r="BM6" s="61">
        <v>1</v>
      </c>
      <c r="BN6" s="146">
        <v>1.0083407841000001</v>
      </c>
    </row>
    <row r="7" spans="1:68" x14ac:dyDescent="0.25">
      <c r="A7" s="79" t="s">
        <v>298</v>
      </c>
      <c r="B7" t="s">
        <v>299</v>
      </c>
      <c r="C7" s="72" t="s">
        <v>526</v>
      </c>
      <c r="D7" s="72" t="s">
        <v>526</v>
      </c>
      <c r="E7" s="72" t="s">
        <v>526</v>
      </c>
      <c r="F7" s="72" t="s">
        <v>526</v>
      </c>
      <c r="G7" s="72" t="s">
        <v>529</v>
      </c>
      <c r="H7" s="72" t="s">
        <v>515</v>
      </c>
      <c r="I7" s="72" t="s">
        <v>528</v>
      </c>
      <c r="J7" s="72" t="s">
        <v>528</v>
      </c>
      <c r="K7" s="72" t="s">
        <v>79</v>
      </c>
      <c r="L7" s="61">
        <v>1.0083</v>
      </c>
      <c r="M7" s="72"/>
      <c r="N7" s="72"/>
      <c r="O7" s="72"/>
      <c r="P7" s="72"/>
      <c r="R7">
        <v>1</v>
      </c>
      <c r="S7">
        <v>0</v>
      </c>
      <c r="T7">
        <v>0</v>
      </c>
      <c r="U7">
        <v>49</v>
      </c>
      <c r="V7">
        <v>12</v>
      </c>
      <c r="W7" s="61">
        <v>0</v>
      </c>
      <c r="X7" s="61">
        <v>0</v>
      </c>
      <c r="Y7">
        <v>0.41599999999999998</v>
      </c>
      <c r="Z7">
        <v>0.03</v>
      </c>
      <c r="AA7">
        <v>0</v>
      </c>
      <c r="AB7">
        <v>0.03</v>
      </c>
      <c r="AC7">
        <v>8.7999999999999998E-5</v>
      </c>
      <c r="AD7">
        <v>1256.8</v>
      </c>
      <c r="AE7">
        <v>8.2999999999999998E-5</v>
      </c>
      <c r="AF7">
        <v>997.97</v>
      </c>
      <c r="AG7">
        <v>0.39600000000000002</v>
      </c>
      <c r="AH7">
        <v>3.6999999999999998E-2</v>
      </c>
      <c r="AI7" s="61">
        <v>16</v>
      </c>
      <c r="AJ7" s="61">
        <v>6613.66</v>
      </c>
      <c r="AK7" s="61">
        <v>375</v>
      </c>
      <c r="AL7" s="174">
        <v>366.32</v>
      </c>
      <c r="AM7" s="118">
        <v>1.5018</v>
      </c>
      <c r="AN7" s="118">
        <v>1.4979</v>
      </c>
      <c r="AO7" s="174"/>
      <c r="AP7" s="118"/>
      <c r="AQ7" s="174">
        <v>366.86</v>
      </c>
      <c r="AR7" s="118">
        <v>1.4983</v>
      </c>
      <c r="AS7" s="118">
        <v>1.4946999999999999</v>
      </c>
      <c r="AT7" s="174"/>
      <c r="AU7" s="118"/>
      <c r="AV7" s="61">
        <v>1.0056764320069</v>
      </c>
      <c r="AW7">
        <v>1</v>
      </c>
      <c r="AX7">
        <v>1.5910000000000001E-2</v>
      </c>
      <c r="AY7">
        <v>2.282E-2</v>
      </c>
      <c r="AZ7">
        <v>0.26916000000000001</v>
      </c>
      <c r="BA7">
        <v>0.3357</v>
      </c>
      <c r="BB7" s="73">
        <v>1</v>
      </c>
      <c r="BC7">
        <v>1</v>
      </c>
      <c r="BD7" s="74">
        <v>1</v>
      </c>
      <c r="BE7" s="79" t="s">
        <v>517</v>
      </c>
      <c r="BF7" s="79" t="s">
        <v>517</v>
      </c>
      <c r="BG7" s="72" t="s">
        <v>280</v>
      </c>
      <c r="BH7" s="72"/>
      <c r="BI7"/>
      <c r="BJ7">
        <v>1.133029999999998</v>
      </c>
      <c r="BK7" s="61" t="str">
        <f t="shared" si="0"/>
        <v>00</v>
      </c>
      <c r="BL7" s="61" t="s">
        <v>525</v>
      </c>
      <c r="BM7" s="61">
        <v>1</v>
      </c>
      <c r="BN7" s="147" t="s">
        <v>377</v>
      </c>
    </row>
    <row r="8" spans="1:68" x14ac:dyDescent="0.25">
      <c r="A8" s="79" t="s">
        <v>301</v>
      </c>
      <c r="B8" t="s">
        <v>302</v>
      </c>
      <c r="C8" s="72" t="s">
        <v>522</v>
      </c>
      <c r="D8" s="72" t="s">
        <v>522</v>
      </c>
      <c r="E8" s="72" t="s">
        <v>519</v>
      </c>
      <c r="F8" s="72" t="s">
        <v>522</v>
      </c>
      <c r="G8" s="72" t="s">
        <v>530</v>
      </c>
      <c r="H8" s="72" t="s">
        <v>515</v>
      </c>
      <c r="I8" s="72" t="s">
        <v>524</v>
      </c>
      <c r="J8" s="72" t="s">
        <v>524</v>
      </c>
      <c r="K8" s="72" t="s">
        <v>281</v>
      </c>
      <c r="L8" s="61">
        <v>1.0083</v>
      </c>
      <c r="M8" s="72"/>
      <c r="N8" s="72"/>
      <c r="O8" s="72"/>
      <c r="P8" s="72"/>
      <c r="R8">
        <v>1</v>
      </c>
      <c r="S8">
        <v>0</v>
      </c>
      <c r="T8">
        <v>0</v>
      </c>
      <c r="U8">
        <v>242</v>
      </c>
      <c r="V8">
        <v>149</v>
      </c>
      <c r="W8" s="61">
        <v>0</v>
      </c>
      <c r="X8" s="61">
        <v>0</v>
      </c>
      <c r="Y8">
        <v>0.2923</v>
      </c>
      <c r="Z8">
        <v>3.3320000000000002E-2</v>
      </c>
      <c r="AA8">
        <v>6.0979999999999999E-2</v>
      </c>
      <c r="AB8">
        <v>3.3320000000000002E-2</v>
      </c>
      <c r="AC8">
        <v>2.2000000000000001E-4</v>
      </c>
      <c r="AD8">
        <v>625.34</v>
      </c>
      <c r="AE8">
        <v>2.02E-4</v>
      </c>
      <c r="AF8">
        <v>572.5</v>
      </c>
      <c r="AG8">
        <v>0.17199999999999999</v>
      </c>
      <c r="AH8">
        <v>0.02</v>
      </c>
      <c r="AI8" s="61">
        <v>0</v>
      </c>
      <c r="AK8" s="61">
        <v>1892</v>
      </c>
      <c r="AL8" s="174">
        <v>1833.75</v>
      </c>
      <c r="AM8" s="118">
        <v>1.9176</v>
      </c>
      <c r="AN8" s="118">
        <v>1.9124000000000001</v>
      </c>
      <c r="AO8" s="174"/>
      <c r="AP8" s="118"/>
      <c r="AQ8" s="174">
        <v>1838.88</v>
      </c>
      <c r="AR8" s="118">
        <v>1.9205000000000001</v>
      </c>
      <c r="AS8" s="118">
        <v>1.9157</v>
      </c>
      <c r="AT8" s="174"/>
      <c r="AU8" s="118"/>
      <c r="AV8" s="61">
        <v>1.0056764320069</v>
      </c>
      <c r="AW8">
        <v>1</v>
      </c>
      <c r="AX8">
        <v>3.1519999999999999E-2</v>
      </c>
      <c r="AY8">
        <v>6.7860000000000004E-2</v>
      </c>
      <c r="AZ8">
        <v>0.15256</v>
      </c>
      <c r="BA8">
        <v>0.25530000000000003</v>
      </c>
      <c r="BB8" s="73">
        <v>1</v>
      </c>
      <c r="BC8">
        <v>0.99256999999999995</v>
      </c>
      <c r="BD8" s="74">
        <v>0.99990000000000001</v>
      </c>
      <c r="BE8" s="79" t="s">
        <v>517</v>
      </c>
      <c r="BF8" s="79" t="s">
        <v>517</v>
      </c>
      <c r="BG8" s="72" t="s">
        <v>280</v>
      </c>
      <c r="BH8" s="72"/>
      <c r="BI8"/>
      <c r="BJ8">
        <v>1</v>
      </c>
      <c r="BK8" s="61" t="str">
        <f t="shared" si="0"/>
        <v>00</v>
      </c>
      <c r="BL8" s="61" t="s">
        <v>518</v>
      </c>
      <c r="BM8" s="61">
        <v>1</v>
      </c>
      <c r="BN8" s="146">
        <v>0.99577388379999998</v>
      </c>
    </row>
    <row r="9" spans="1:68" x14ac:dyDescent="0.25">
      <c r="A9" s="79" t="s">
        <v>142</v>
      </c>
      <c r="B9" t="s">
        <v>303</v>
      </c>
      <c r="C9" s="72" t="s">
        <v>531</v>
      </c>
      <c r="D9" s="72" t="s">
        <v>531</v>
      </c>
      <c r="E9" s="72" t="s">
        <v>519</v>
      </c>
      <c r="F9" s="72" t="s">
        <v>526</v>
      </c>
      <c r="G9" s="72" t="s">
        <v>532</v>
      </c>
      <c r="H9" s="72" t="s">
        <v>515</v>
      </c>
      <c r="I9" s="72" t="s">
        <v>516</v>
      </c>
      <c r="J9" s="72" t="s">
        <v>528</v>
      </c>
      <c r="K9" s="72" t="s">
        <v>281</v>
      </c>
      <c r="L9" s="61">
        <v>1.0083</v>
      </c>
      <c r="M9" s="72"/>
      <c r="N9" s="72" t="s">
        <v>141</v>
      </c>
      <c r="O9" s="72" t="s">
        <v>141</v>
      </c>
      <c r="P9" s="72"/>
      <c r="R9">
        <v>1</v>
      </c>
      <c r="S9">
        <v>7.7399999999999997E-2</v>
      </c>
      <c r="T9">
        <v>0.1211</v>
      </c>
      <c r="U9">
        <v>223</v>
      </c>
      <c r="V9">
        <v>139</v>
      </c>
      <c r="W9" s="501">
        <v>4.1700000000000001E-2</v>
      </c>
      <c r="X9" s="61">
        <v>3.4770000000000002E-2</v>
      </c>
      <c r="Y9">
        <v>0.29770000000000002</v>
      </c>
      <c r="Z9">
        <v>3.4439999999999998E-2</v>
      </c>
      <c r="AA9">
        <v>6.2140000000000001E-2</v>
      </c>
      <c r="AB9">
        <v>3.4439999999999998E-2</v>
      </c>
      <c r="AC9">
        <v>3.68E-4</v>
      </c>
      <c r="AD9">
        <v>689.94</v>
      </c>
      <c r="AE9">
        <v>3.3300000000000002E-4</v>
      </c>
      <c r="AF9">
        <v>633.35</v>
      </c>
      <c r="AG9">
        <v>0.23300000000000001</v>
      </c>
      <c r="AH9">
        <v>1.4E-2</v>
      </c>
      <c r="AI9" s="61">
        <v>7</v>
      </c>
      <c r="AK9" s="61">
        <v>2916</v>
      </c>
      <c r="AL9" s="174">
        <v>2829.29</v>
      </c>
      <c r="AM9" s="118">
        <v>1.766</v>
      </c>
      <c r="AN9" s="118">
        <v>1.7571000000000001</v>
      </c>
      <c r="AO9" s="174">
        <v>1720.15</v>
      </c>
      <c r="AP9" s="118">
        <v>1.7621</v>
      </c>
      <c r="AQ9" s="174">
        <v>2836.19</v>
      </c>
      <c r="AR9" s="118">
        <v>1.7603</v>
      </c>
      <c r="AS9" s="118">
        <v>1.7534000000000001</v>
      </c>
      <c r="AT9" s="174">
        <v>1724.47</v>
      </c>
      <c r="AU9" s="118">
        <v>1.7618</v>
      </c>
      <c r="AV9" s="61">
        <v>1.0056764320069</v>
      </c>
      <c r="AW9">
        <v>1</v>
      </c>
      <c r="AX9">
        <v>2.5100000000000001E-2</v>
      </c>
      <c r="AY9">
        <v>1.2880000000000001E-2</v>
      </c>
      <c r="AZ9">
        <v>0.25161</v>
      </c>
      <c r="BA9">
        <v>0.26340000000000002</v>
      </c>
      <c r="BB9" s="73">
        <v>1</v>
      </c>
      <c r="BC9">
        <v>1.00373</v>
      </c>
      <c r="BD9" s="74">
        <v>1</v>
      </c>
      <c r="BE9" s="79" t="s">
        <v>517</v>
      </c>
      <c r="BF9" s="79" t="s">
        <v>517</v>
      </c>
      <c r="BG9" s="72" t="s">
        <v>280</v>
      </c>
      <c r="BH9" s="72"/>
      <c r="BI9"/>
      <c r="BJ9">
        <v>1</v>
      </c>
      <c r="BK9" s="61" t="str">
        <f t="shared" si="0"/>
        <v>00</v>
      </c>
      <c r="BL9" s="61" t="s">
        <v>518</v>
      </c>
      <c r="BM9" s="61">
        <v>1</v>
      </c>
      <c r="BN9" s="146">
        <v>1.0086391080999999</v>
      </c>
    </row>
    <row r="10" spans="1:68" x14ac:dyDescent="0.25">
      <c r="A10" s="79" t="s">
        <v>143</v>
      </c>
      <c r="B10" t="s">
        <v>305</v>
      </c>
      <c r="C10" s="72" t="s">
        <v>522</v>
      </c>
      <c r="D10" s="72" t="s">
        <v>522</v>
      </c>
      <c r="E10" s="72" t="s">
        <v>522</v>
      </c>
      <c r="F10" s="72" t="s">
        <v>526</v>
      </c>
      <c r="G10" s="72" t="s">
        <v>533</v>
      </c>
      <c r="H10" s="72" t="s">
        <v>515</v>
      </c>
      <c r="I10" s="72" t="s">
        <v>524</v>
      </c>
      <c r="J10" s="72" t="s">
        <v>528</v>
      </c>
      <c r="K10" s="72" t="s">
        <v>281</v>
      </c>
      <c r="L10" s="61">
        <v>1.0083</v>
      </c>
      <c r="M10" s="72"/>
      <c r="N10" s="72" t="s">
        <v>141</v>
      </c>
      <c r="O10" s="72" t="s">
        <v>141</v>
      </c>
      <c r="P10" s="72"/>
      <c r="R10">
        <v>1</v>
      </c>
      <c r="S10">
        <v>0.38529999999999998</v>
      </c>
      <c r="T10">
        <v>0.51129999999999998</v>
      </c>
      <c r="U10">
        <v>396</v>
      </c>
      <c r="V10">
        <v>294</v>
      </c>
      <c r="W10" s="61">
        <v>0.19048999999999999</v>
      </c>
      <c r="X10" s="61">
        <v>0.15522</v>
      </c>
      <c r="Y10">
        <v>0.70860000000000001</v>
      </c>
      <c r="Z10">
        <v>0.11919</v>
      </c>
      <c r="AA10">
        <v>0.15429999999999999</v>
      </c>
      <c r="AB10">
        <v>0.11919</v>
      </c>
      <c r="AC10">
        <v>1.261E-3</v>
      </c>
      <c r="AD10">
        <v>7508.68</v>
      </c>
      <c r="AE10">
        <v>1.224E-3</v>
      </c>
      <c r="AF10">
        <v>6855.47</v>
      </c>
      <c r="AG10">
        <v>0.245</v>
      </c>
      <c r="AH10">
        <v>1.9E-2</v>
      </c>
      <c r="AI10" s="61">
        <v>7</v>
      </c>
      <c r="AK10" s="61">
        <v>911</v>
      </c>
      <c r="AL10" s="174">
        <v>896.8</v>
      </c>
      <c r="AM10" s="118">
        <v>2.0651999999999999</v>
      </c>
      <c r="AN10" s="118">
        <v>2.0413999999999999</v>
      </c>
      <c r="AO10" s="174">
        <v>2132.73</v>
      </c>
      <c r="AP10" s="118">
        <v>1.8929</v>
      </c>
      <c r="AQ10" s="174">
        <v>897.83</v>
      </c>
      <c r="AR10" s="118">
        <v>2.0703</v>
      </c>
      <c r="AS10" s="118">
        <v>2.0488</v>
      </c>
      <c r="AT10" s="174">
        <v>2134.86</v>
      </c>
      <c r="AU10" s="118">
        <v>1.9006000000000001</v>
      </c>
      <c r="AV10" s="61">
        <v>1.0056764320069</v>
      </c>
      <c r="AW10">
        <v>1</v>
      </c>
      <c r="AX10">
        <v>3.7830000000000003E-2</v>
      </c>
      <c r="AY10">
        <v>4.614E-2</v>
      </c>
      <c r="AZ10">
        <v>4.8120000000000003E-2</v>
      </c>
      <c r="BA10">
        <v>0.56289999999999996</v>
      </c>
      <c r="BB10" s="73">
        <v>1</v>
      </c>
      <c r="BC10">
        <v>1.00515</v>
      </c>
      <c r="BD10" s="74">
        <v>1</v>
      </c>
      <c r="BE10" s="79" t="s">
        <v>517</v>
      </c>
      <c r="BF10" s="79" t="s">
        <v>517</v>
      </c>
      <c r="BG10" s="72" t="s">
        <v>72</v>
      </c>
      <c r="BH10" s="72"/>
      <c r="BI10"/>
      <c r="BJ10">
        <v>1</v>
      </c>
      <c r="BK10" s="61" t="str">
        <f t="shared" si="0"/>
        <v>00</v>
      </c>
      <c r="BL10" s="61" t="s">
        <v>525</v>
      </c>
      <c r="BM10" s="61">
        <v>0.99950000000000006</v>
      </c>
      <c r="BN10" s="146">
        <v>0.99834692859999996</v>
      </c>
    </row>
    <row r="11" spans="1:68" x14ac:dyDescent="0.25">
      <c r="A11" s="79" t="s">
        <v>144</v>
      </c>
      <c r="B11" t="s">
        <v>306</v>
      </c>
      <c r="C11" s="72" t="s">
        <v>534</v>
      </c>
      <c r="D11" s="72" t="s">
        <v>534</v>
      </c>
      <c r="E11" s="72" t="s">
        <v>534</v>
      </c>
      <c r="F11" s="72" t="s">
        <v>534</v>
      </c>
      <c r="G11" s="72" t="s">
        <v>535</v>
      </c>
      <c r="H11" s="72" t="s">
        <v>515</v>
      </c>
      <c r="I11" s="72" t="s">
        <v>516</v>
      </c>
      <c r="J11" s="72" t="s">
        <v>516</v>
      </c>
      <c r="K11" s="72" t="s">
        <v>79</v>
      </c>
      <c r="L11" s="61">
        <v>1.0083</v>
      </c>
      <c r="M11" s="72"/>
      <c r="N11" s="72"/>
      <c r="O11" s="72"/>
      <c r="P11" s="72"/>
      <c r="R11">
        <v>1</v>
      </c>
      <c r="S11">
        <v>0.3019</v>
      </c>
      <c r="T11">
        <v>0.61919999999999997</v>
      </c>
      <c r="U11">
        <v>42</v>
      </c>
      <c r="V11">
        <v>21</v>
      </c>
      <c r="W11" s="61">
        <v>0.15223</v>
      </c>
      <c r="X11" s="61">
        <v>0.19092999999999999</v>
      </c>
      <c r="Y11">
        <v>0.35970000000000002</v>
      </c>
      <c r="Z11">
        <v>0.03</v>
      </c>
      <c r="AA11">
        <v>0</v>
      </c>
      <c r="AB11">
        <v>0.03</v>
      </c>
      <c r="AC11">
        <v>9.7E-5</v>
      </c>
      <c r="AD11">
        <v>1414.74</v>
      </c>
      <c r="AE11">
        <v>1.02E-4</v>
      </c>
      <c r="AF11">
        <v>1562.8</v>
      </c>
      <c r="AG11">
        <v>0.253</v>
      </c>
      <c r="AH11">
        <v>1.9E-2</v>
      </c>
      <c r="AI11" s="61">
        <v>0</v>
      </c>
      <c r="AK11" s="61">
        <v>383</v>
      </c>
      <c r="AL11" s="174">
        <v>373.92</v>
      </c>
      <c r="AM11" s="118">
        <v>2.0242</v>
      </c>
      <c r="AN11" s="118">
        <v>2.0137999999999998</v>
      </c>
      <c r="AO11" s="174">
        <v>645.29999999999995</v>
      </c>
      <c r="AP11" s="118">
        <v>1.9602999999999999</v>
      </c>
      <c r="AQ11" s="174">
        <v>374.39</v>
      </c>
      <c r="AR11" s="118">
        <v>2.0089000000000001</v>
      </c>
      <c r="AS11" s="118">
        <v>1.9984</v>
      </c>
      <c r="AT11" s="174">
        <v>646.1</v>
      </c>
      <c r="AU11" s="118">
        <v>1.9692000000000001</v>
      </c>
      <c r="AV11" s="61">
        <v>1.0056764320069</v>
      </c>
      <c r="AW11">
        <v>1</v>
      </c>
      <c r="AX11">
        <v>6.0200000000000002E-3</v>
      </c>
      <c r="AY11">
        <v>5.8799999999999998E-3</v>
      </c>
      <c r="AZ11">
        <v>0.22444</v>
      </c>
      <c r="BA11">
        <v>0.27829999999999999</v>
      </c>
      <c r="BB11" s="73">
        <v>1</v>
      </c>
      <c r="BC11">
        <v>1.02294</v>
      </c>
      <c r="BD11" s="74">
        <v>1</v>
      </c>
      <c r="BE11" s="79" t="s">
        <v>517</v>
      </c>
      <c r="BF11" s="79" t="s">
        <v>517</v>
      </c>
      <c r="BG11" s="72" t="s">
        <v>280</v>
      </c>
      <c r="BH11" s="72"/>
      <c r="BI11"/>
      <c r="BJ11">
        <v>1</v>
      </c>
      <c r="BK11" s="61" t="str">
        <f t="shared" si="0"/>
        <v>00</v>
      </c>
      <c r="BL11" s="61" t="s">
        <v>518</v>
      </c>
      <c r="BM11" s="61">
        <v>1</v>
      </c>
      <c r="BN11" s="146">
        <v>1.0019268171</v>
      </c>
    </row>
    <row r="12" spans="1:68" x14ac:dyDescent="0.25">
      <c r="A12" s="79" t="s">
        <v>307</v>
      </c>
      <c r="B12" t="s">
        <v>308</v>
      </c>
      <c r="C12" s="72" t="s">
        <v>526</v>
      </c>
      <c r="D12" s="72" t="s">
        <v>526</v>
      </c>
      <c r="E12" s="72" t="s">
        <v>526</v>
      </c>
      <c r="F12" s="72" t="s">
        <v>526</v>
      </c>
      <c r="G12" s="72" t="s">
        <v>536</v>
      </c>
      <c r="H12" s="72" t="s">
        <v>515</v>
      </c>
      <c r="I12" s="72" t="s">
        <v>528</v>
      </c>
      <c r="J12" s="72" t="s">
        <v>528</v>
      </c>
      <c r="K12" s="72" t="s">
        <v>79</v>
      </c>
      <c r="L12" s="61">
        <v>1.0083</v>
      </c>
      <c r="M12" s="72"/>
      <c r="N12" s="72"/>
      <c r="O12" s="72"/>
      <c r="P12" s="72"/>
      <c r="R12">
        <v>1</v>
      </c>
      <c r="S12">
        <v>0</v>
      </c>
      <c r="T12">
        <v>0</v>
      </c>
      <c r="U12">
        <v>73</v>
      </c>
      <c r="V12">
        <v>44</v>
      </c>
      <c r="W12" s="61">
        <v>0</v>
      </c>
      <c r="X12" s="61">
        <v>0</v>
      </c>
      <c r="Y12">
        <v>0.32569999999999999</v>
      </c>
      <c r="Z12">
        <v>0.03</v>
      </c>
      <c r="AA12">
        <v>0</v>
      </c>
      <c r="AB12">
        <v>0.03</v>
      </c>
      <c r="AD12">
        <v>0</v>
      </c>
      <c r="AF12">
        <v>0</v>
      </c>
      <c r="AG12">
        <v>0.215</v>
      </c>
      <c r="AH12">
        <v>1.7999999999999999E-2</v>
      </c>
      <c r="AI12" s="61">
        <v>16</v>
      </c>
      <c r="AJ12" s="61">
        <v>9415.4</v>
      </c>
      <c r="AK12" s="61">
        <v>1311</v>
      </c>
      <c r="AL12" s="174">
        <v>1280.0999999999999</v>
      </c>
      <c r="AM12" s="118">
        <v>2.0049000000000001</v>
      </c>
      <c r="AN12" s="118">
        <v>1.9927999999999999</v>
      </c>
      <c r="AO12" s="174"/>
      <c r="AP12" s="118"/>
      <c r="AQ12" s="174">
        <v>1282.2</v>
      </c>
      <c r="AR12" s="118">
        <v>1.9984999999999999</v>
      </c>
      <c r="AS12" s="118">
        <v>1.9818</v>
      </c>
      <c r="AT12" s="174"/>
      <c r="AU12" s="118"/>
      <c r="AV12" s="61">
        <v>1.0056764320069</v>
      </c>
      <c r="AW12">
        <v>1</v>
      </c>
      <c r="AX12">
        <v>3.2989999999999998E-2</v>
      </c>
      <c r="AY12">
        <v>4.002E-2</v>
      </c>
      <c r="AZ12">
        <v>0.28778999999999999</v>
      </c>
      <c r="BA12">
        <v>0.28399999999999997</v>
      </c>
      <c r="BB12" s="73">
        <v>1</v>
      </c>
      <c r="BC12">
        <v>1.0152300000000001</v>
      </c>
      <c r="BD12" s="74">
        <v>0.99980000000000002</v>
      </c>
      <c r="BE12" s="79" t="s">
        <v>517</v>
      </c>
      <c r="BF12" s="79" t="s">
        <v>517</v>
      </c>
      <c r="BG12" s="72" t="s">
        <v>280</v>
      </c>
      <c r="BH12" s="72"/>
      <c r="BI12"/>
      <c r="BJ12">
        <v>1</v>
      </c>
      <c r="BK12" s="61" t="str">
        <f t="shared" si="0"/>
        <v>00</v>
      </c>
      <c r="BL12" s="61" t="s">
        <v>518</v>
      </c>
      <c r="BM12" s="61">
        <v>1</v>
      </c>
      <c r="BN12" s="146">
        <v>1.0211687179</v>
      </c>
    </row>
    <row r="13" spans="1:68" x14ac:dyDescent="0.25">
      <c r="A13" s="79" t="s">
        <v>145</v>
      </c>
      <c r="B13" t="s">
        <v>309</v>
      </c>
      <c r="C13" s="72" t="s">
        <v>522</v>
      </c>
      <c r="D13" s="72" t="s">
        <v>522</v>
      </c>
      <c r="E13" s="72" t="s">
        <v>519</v>
      </c>
      <c r="F13" s="72" t="s">
        <v>526</v>
      </c>
      <c r="G13" s="72" t="s">
        <v>533</v>
      </c>
      <c r="H13" s="72" t="s">
        <v>515</v>
      </c>
      <c r="I13" s="72" t="s">
        <v>524</v>
      </c>
      <c r="J13" s="72" t="s">
        <v>528</v>
      </c>
      <c r="K13" s="72" t="s">
        <v>281</v>
      </c>
      <c r="L13" s="61">
        <v>1.0083</v>
      </c>
      <c r="M13" s="72"/>
      <c r="N13" s="72" t="s">
        <v>141</v>
      </c>
      <c r="O13" s="72" t="s">
        <v>141</v>
      </c>
      <c r="P13" s="72"/>
      <c r="R13">
        <v>1</v>
      </c>
      <c r="S13">
        <v>4.3099999999999999E-2</v>
      </c>
      <c r="T13">
        <v>7.0599999999999996E-2</v>
      </c>
      <c r="U13">
        <v>298</v>
      </c>
      <c r="V13">
        <v>193</v>
      </c>
      <c r="W13" s="61">
        <v>2.3269999999999999E-2</v>
      </c>
      <c r="X13" s="61">
        <v>2.0119999999999999E-2</v>
      </c>
      <c r="Y13">
        <v>0.48060000000000003</v>
      </c>
      <c r="Z13">
        <v>7.2160000000000002E-2</v>
      </c>
      <c r="AA13">
        <v>0.10221</v>
      </c>
      <c r="AB13">
        <v>7.2160000000000002E-2</v>
      </c>
      <c r="AC13">
        <v>1.7100000000000001E-4</v>
      </c>
      <c r="AD13">
        <v>716.83</v>
      </c>
      <c r="AE13">
        <v>1.6899999999999999E-4</v>
      </c>
      <c r="AF13">
        <v>690.53</v>
      </c>
      <c r="AG13">
        <v>0.09</v>
      </c>
      <c r="AH13">
        <v>1.0999999999999999E-2</v>
      </c>
      <c r="AI13" s="61">
        <v>7</v>
      </c>
      <c r="AK13" s="61">
        <v>1216</v>
      </c>
      <c r="AL13" s="174">
        <v>1194.95</v>
      </c>
      <c r="AM13" s="118">
        <v>3.1166999999999998</v>
      </c>
      <c r="AN13" s="118">
        <v>3.1139999999999999</v>
      </c>
      <c r="AO13" s="174">
        <v>1132.27</v>
      </c>
      <c r="AP13" s="118">
        <v>2.4983</v>
      </c>
      <c r="AQ13" s="174">
        <v>1196.1099999999999</v>
      </c>
      <c r="AR13" s="118">
        <v>3.2115999999999998</v>
      </c>
      <c r="AS13" s="118">
        <v>3.2105000000000001</v>
      </c>
      <c r="AT13" s="174">
        <v>1133.02</v>
      </c>
      <c r="AU13" s="118">
        <v>2.5448</v>
      </c>
      <c r="AV13" s="61">
        <v>1.0056764320069</v>
      </c>
      <c r="AW13">
        <v>1</v>
      </c>
      <c r="AX13">
        <v>0.19868</v>
      </c>
      <c r="AY13">
        <v>0.41270000000000001</v>
      </c>
      <c r="AZ13">
        <v>0.12282</v>
      </c>
      <c r="BA13">
        <v>0.44359999999999999</v>
      </c>
      <c r="BB13" s="73">
        <v>1</v>
      </c>
      <c r="BC13">
        <v>0.99146999999999996</v>
      </c>
      <c r="BD13" s="74">
        <v>0.99960000000000004</v>
      </c>
      <c r="BE13" s="79" t="s">
        <v>517</v>
      </c>
      <c r="BF13" s="79" t="s">
        <v>517</v>
      </c>
      <c r="BG13" s="72" t="s">
        <v>171</v>
      </c>
      <c r="BH13" s="72"/>
      <c r="BI13"/>
      <c r="BJ13">
        <v>1</v>
      </c>
      <c r="BK13" s="61" t="str">
        <f t="shared" si="0"/>
        <v>00</v>
      </c>
      <c r="BL13" s="61" t="s">
        <v>525</v>
      </c>
      <c r="BM13" s="61">
        <v>0.999</v>
      </c>
      <c r="BN13" s="146">
        <v>0.99730279450000003</v>
      </c>
    </row>
    <row r="14" spans="1:68" x14ac:dyDescent="0.25">
      <c r="A14" s="79" t="s">
        <v>146</v>
      </c>
      <c r="B14" t="s">
        <v>311</v>
      </c>
      <c r="C14" s="72" t="s">
        <v>522</v>
      </c>
      <c r="D14" s="72" t="s">
        <v>522</v>
      </c>
      <c r="E14" s="72" t="s">
        <v>519</v>
      </c>
      <c r="F14" s="72" t="s">
        <v>526</v>
      </c>
      <c r="G14" s="72" t="s">
        <v>533</v>
      </c>
      <c r="H14" s="72" t="s">
        <v>515</v>
      </c>
      <c r="I14" s="72" t="s">
        <v>524</v>
      </c>
      <c r="J14" s="72" t="s">
        <v>528</v>
      </c>
      <c r="K14" s="72" t="s">
        <v>281</v>
      </c>
      <c r="L14" s="61">
        <v>1.0083</v>
      </c>
      <c r="M14" s="72"/>
      <c r="N14" s="72" t="s">
        <v>141</v>
      </c>
      <c r="O14" s="72" t="s">
        <v>141</v>
      </c>
      <c r="P14" s="72"/>
      <c r="R14">
        <v>1</v>
      </c>
      <c r="S14">
        <v>4.2500000000000003E-2</v>
      </c>
      <c r="T14">
        <v>5.3400000000000003E-2</v>
      </c>
      <c r="U14">
        <v>220</v>
      </c>
      <c r="V14">
        <v>178</v>
      </c>
      <c r="W14" s="61">
        <v>2.2950000000000002E-2</v>
      </c>
      <c r="X14" s="61">
        <v>1.5180000000000001E-2</v>
      </c>
      <c r="Y14">
        <v>0.22919999999999999</v>
      </c>
      <c r="Z14">
        <v>2.0310000000000002E-2</v>
      </c>
      <c r="AA14">
        <v>4.7509999999999997E-2</v>
      </c>
      <c r="AB14">
        <v>2.0310000000000002E-2</v>
      </c>
      <c r="AC14">
        <v>4.1899999999999999E-4</v>
      </c>
      <c r="AD14">
        <v>754.25</v>
      </c>
      <c r="AE14">
        <v>4.1399999999999998E-4</v>
      </c>
      <c r="AF14">
        <v>789.66</v>
      </c>
      <c r="AG14">
        <v>0.17100000000000001</v>
      </c>
      <c r="AH14">
        <v>1.4E-2</v>
      </c>
      <c r="AI14" s="61">
        <v>7</v>
      </c>
      <c r="AK14" s="61">
        <v>3215</v>
      </c>
      <c r="AL14" s="174">
        <v>3159.01</v>
      </c>
      <c r="AM14" s="118">
        <v>2.2728999999999999</v>
      </c>
      <c r="AN14" s="118">
        <v>2.262</v>
      </c>
      <c r="AO14" s="174">
        <v>3514.09</v>
      </c>
      <c r="AP14" s="118">
        <v>2.2751999999999999</v>
      </c>
      <c r="AQ14" s="174">
        <v>3163.45</v>
      </c>
      <c r="AR14" s="118">
        <v>2.2715999999999998</v>
      </c>
      <c r="AS14" s="118">
        <v>2.2637</v>
      </c>
      <c r="AT14" s="174">
        <v>3519.38</v>
      </c>
      <c r="AU14" s="118">
        <v>2.2751999999999999</v>
      </c>
      <c r="AV14" s="61">
        <v>1.0056764320069</v>
      </c>
      <c r="AW14">
        <v>1</v>
      </c>
      <c r="AX14">
        <v>4.258E-2</v>
      </c>
      <c r="AY14">
        <v>4.6739999999999997E-2</v>
      </c>
      <c r="AZ14">
        <v>0.23696</v>
      </c>
      <c r="BA14">
        <v>0.2044</v>
      </c>
      <c r="BB14" s="73">
        <v>1</v>
      </c>
      <c r="BC14">
        <v>0.99946000000000002</v>
      </c>
      <c r="BD14" s="74">
        <v>0.99950000000000006</v>
      </c>
      <c r="BE14" s="79" t="s">
        <v>517</v>
      </c>
      <c r="BF14" s="79" t="s">
        <v>517</v>
      </c>
      <c r="BG14" s="72" t="s">
        <v>280</v>
      </c>
      <c r="BH14" s="72"/>
      <c r="BI14"/>
      <c r="BJ14">
        <v>1</v>
      </c>
      <c r="BK14" s="61" t="str">
        <f t="shared" si="0"/>
        <v>00</v>
      </c>
      <c r="BL14" s="61" t="s">
        <v>518</v>
      </c>
      <c r="BM14" s="61">
        <v>0.99990000000000001</v>
      </c>
      <c r="BN14" s="146">
        <v>1.0032692753000001</v>
      </c>
    </row>
    <row r="15" spans="1:68" x14ac:dyDescent="0.25">
      <c r="A15" s="79" t="s">
        <v>147</v>
      </c>
      <c r="B15" t="s">
        <v>312</v>
      </c>
      <c r="C15" s="72" t="s">
        <v>534</v>
      </c>
      <c r="D15" s="72" t="s">
        <v>534</v>
      </c>
      <c r="E15" s="72" t="s">
        <v>534</v>
      </c>
      <c r="F15" s="72" t="s">
        <v>534</v>
      </c>
      <c r="G15" s="72" t="s">
        <v>535</v>
      </c>
      <c r="H15" s="72" t="s">
        <v>515</v>
      </c>
      <c r="I15" s="72" t="s">
        <v>516</v>
      </c>
      <c r="J15" s="72" t="s">
        <v>516</v>
      </c>
      <c r="K15" s="72" t="s">
        <v>79</v>
      </c>
      <c r="L15" s="61">
        <v>1.0083</v>
      </c>
      <c r="M15" s="72"/>
      <c r="N15" s="72"/>
      <c r="O15" s="72"/>
      <c r="P15" s="72"/>
      <c r="R15">
        <v>1</v>
      </c>
      <c r="S15">
        <v>0.21659999999999999</v>
      </c>
      <c r="T15">
        <v>0.2833</v>
      </c>
      <c r="U15">
        <v>253</v>
      </c>
      <c r="V15">
        <v>176</v>
      </c>
      <c r="W15" s="61">
        <v>0.11157</v>
      </c>
      <c r="X15" s="61">
        <v>8.3229999999999998E-2</v>
      </c>
      <c r="Y15">
        <v>0.3972</v>
      </c>
      <c r="Z15">
        <v>5.4960000000000002E-2</v>
      </c>
      <c r="AA15">
        <v>8.3760000000000001E-2</v>
      </c>
      <c r="AB15">
        <v>5.4960000000000002E-2</v>
      </c>
      <c r="AC15">
        <v>1.44E-4</v>
      </c>
      <c r="AD15">
        <v>258.42</v>
      </c>
      <c r="AE15">
        <v>1.3899999999999999E-4</v>
      </c>
      <c r="AF15">
        <v>234.17</v>
      </c>
      <c r="AG15">
        <v>0.127</v>
      </c>
      <c r="AH15">
        <v>5.0000000000000001E-3</v>
      </c>
      <c r="AI15" s="61">
        <v>0</v>
      </c>
      <c r="AK15" s="61">
        <v>3156</v>
      </c>
      <c r="AL15" s="174">
        <v>3090.42</v>
      </c>
      <c r="AM15" s="118">
        <v>1.9128000000000001</v>
      </c>
      <c r="AN15" s="118">
        <v>1.8991</v>
      </c>
      <c r="AO15" s="174">
        <v>3298.35</v>
      </c>
      <c r="AP15" s="118">
        <v>2.1379000000000001</v>
      </c>
      <c r="AQ15" s="174">
        <v>3094.91</v>
      </c>
      <c r="AR15" s="118">
        <v>1.9136</v>
      </c>
      <c r="AS15" s="118">
        <v>1.8996999999999999</v>
      </c>
      <c r="AT15" s="174">
        <v>3303.41</v>
      </c>
      <c r="AU15" s="118">
        <v>2.1358999999999999</v>
      </c>
      <c r="AV15" s="61">
        <v>1.0056764320069</v>
      </c>
      <c r="AW15">
        <v>1</v>
      </c>
      <c r="AX15">
        <v>5.5599999999999998E-3</v>
      </c>
      <c r="AY15">
        <v>1.25E-3</v>
      </c>
      <c r="AZ15">
        <v>0.22091</v>
      </c>
      <c r="BA15">
        <v>0.31859999999999999</v>
      </c>
      <c r="BB15" s="73">
        <v>1</v>
      </c>
      <c r="BC15">
        <v>1.0007999999999999</v>
      </c>
      <c r="BD15" s="74">
        <v>0.99790000000000001</v>
      </c>
      <c r="BE15" s="79" t="s">
        <v>517</v>
      </c>
      <c r="BF15" s="79" t="s">
        <v>517</v>
      </c>
      <c r="BG15" s="72" t="s">
        <v>280</v>
      </c>
      <c r="BH15" s="72"/>
      <c r="BI15"/>
      <c r="BJ15">
        <v>1</v>
      </c>
      <c r="BK15" s="61" t="str">
        <f t="shared" si="0"/>
        <v>00</v>
      </c>
      <c r="BL15" s="61" t="s">
        <v>525</v>
      </c>
      <c r="BM15" s="61">
        <v>0.99580000000000002</v>
      </c>
      <c r="BN15" s="146">
        <v>0.99581117429999999</v>
      </c>
    </row>
    <row r="16" spans="1:68" x14ac:dyDescent="0.25">
      <c r="A16" s="79" t="s">
        <v>148</v>
      </c>
      <c r="B16" t="s">
        <v>313</v>
      </c>
      <c r="C16" s="72" t="s">
        <v>537</v>
      </c>
      <c r="D16" s="72" t="s">
        <v>537</v>
      </c>
      <c r="E16" s="72" t="s">
        <v>537</v>
      </c>
      <c r="F16" s="72" t="s">
        <v>537</v>
      </c>
      <c r="G16" s="72" t="s">
        <v>538</v>
      </c>
      <c r="H16" s="72" t="s">
        <v>515</v>
      </c>
      <c r="I16" s="72" t="s">
        <v>516</v>
      </c>
      <c r="J16" s="72" t="s">
        <v>516</v>
      </c>
      <c r="K16" s="72" t="s">
        <v>79</v>
      </c>
      <c r="L16" s="61">
        <v>1.0083</v>
      </c>
      <c r="M16" s="72"/>
      <c r="N16" s="72"/>
      <c r="O16" s="72"/>
      <c r="P16" s="72"/>
      <c r="R16">
        <v>1</v>
      </c>
      <c r="S16">
        <v>5.7000000000000002E-3</v>
      </c>
      <c r="T16">
        <v>5.4999999999999997E-3</v>
      </c>
      <c r="U16">
        <v>373</v>
      </c>
      <c r="V16">
        <v>361</v>
      </c>
      <c r="W16" s="61">
        <v>3.1099999999999999E-3</v>
      </c>
      <c r="X16" s="61">
        <v>1.5499999999999999E-3</v>
      </c>
      <c r="Y16">
        <v>0.36249999999999999</v>
      </c>
      <c r="Z16">
        <v>4.7800000000000002E-2</v>
      </c>
      <c r="AA16">
        <v>7.6170000000000002E-2</v>
      </c>
      <c r="AB16">
        <v>4.7800000000000002E-2</v>
      </c>
      <c r="AC16">
        <v>7.94E-4</v>
      </c>
      <c r="AD16">
        <v>686.1</v>
      </c>
      <c r="AE16">
        <v>7.4600000000000003E-4</v>
      </c>
      <c r="AF16">
        <v>678.4</v>
      </c>
      <c r="AG16">
        <v>0.17299999999999999</v>
      </c>
      <c r="AH16">
        <v>8.0000000000000002E-3</v>
      </c>
      <c r="AI16" s="61">
        <v>0</v>
      </c>
      <c r="AK16" s="61">
        <v>6502</v>
      </c>
      <c r="AL16" s="174">
        <v>6353.28</v>
      </c>
      <c r="AM16" s="118">
        <v>1.9742999999999999</v>
      </c>
      <c r="AN16" s="118">
        <v>1.9728000000000001</v>
      </c>
      <c r="AO16" s="174">
        <v>5238.9399999999996</v>
      </c>
      <c r="AP16" s="118">
        <v>2.0404</v>
      </c>
      <c r="AQ16" s="174">
        <v>6364.85</v>
      </c>
      <c r="AR16" s="118">
        <v>1.9766999999999999</v>
      </c>
      <c r="AS16" s="118">
        <v>1.9764999999999999</v>
      </c>
      <c r="AT16" s="174">
        <v>5245.53</v>
      </c>
      <c r="AU16" s="118">
        <v>2.0434000000000001</v>
      </c>
      <c r="AV16" s="61">
        <v>1.0056764320069</v>
      </c>
      <c r="AW16">
        <v>1</v>
      </c>
      <c r="AX16">
        <v>4.48E-2</v>
      </c>
      <c r="AY16">
        <v>1.146E-2</v>
      </c>
      <c r="AZ16">
        <v>0.21756</v>
      </c>
      <c r="BA16">
        <v>0.31659999999999999</v>
      </c>
      <c r="BB16" s="73">
        <v>1</v>
      </c>
      <c r="BC16">
        <v>0.99582000000000004</v>
      </c>
      <c r="BD16" s="74">
        <v>1</v>
      </c>
      <c r="BE16" s="79" t="s">
        <v>517</v>
      </c>
      <c r="BF16" s="79" t="s">
        <v>517</v>
      </c>
      <c r="BG16" s="72" t="s">
        <v>280</v>
      </c>
      <c r="BH16" s="72"/>
      <c r="BI16"/>
      <c r="BJ16">
        <v>1</v>
      </c>
      <c r="BK16" s="61" t="str">
        <f t="shared" si="0"/>
        <v>00</v>
      </c>
      <c r="BL16" s="61" t="s">
        <v>518</v>
      </c>
      <c r="BM16" s="61">
        <v>1</v>
      </c>
      <c r="BN16" s="146">
        <v>0.99782486159999995</v>
      </c>
    </row>
    <row r="17" spans="1:66" x14ac:dyDescent="0.25">
      <c r="A17" s="79" t="s">
        <v>149</v>
      </c>
      <c r="B17" t="s">
        <v>314</v>
      </c>
      <c r="C17" s="72" t="s">
        <v>539</v>
      </c>
      <c r="D17" s="72" t="s">
        <v>539</v>
      </c>
      <c r="E17" s="72" t="s">
        <v>522</v>
      </c>
      <c r="F17" s="72" t="s">
        <v>526</v>
      </c>
      <c r="G17" s="72" t="s">
        <v>540</v>
      </c>
      <c r="H17" s="72" t="s">
        <v>515</v>
      </c>
      <c r="I17" s="72" t="s">
        <v>516</v>
      </c>
      <c r="J17" s="72" t="s">
        <v>528</v>
      </c>
      <c r="K17" s="72" t="s">
        <v>281</v>
      </c>
      <c r="L17" s="61">
        <v>1.0083</v>
      </c>
      <c r="M17" s="72"/>
      <c r="N17" s="72" t="s">
        <v>141</v>
      </c>
      <c r="O17" s="72" t="s">
        <v>141</v>
      </c>
      <c r="P17" s="72"/>
      <c r="R17">
        <v>1</v>
      </c>
      <c r="S17">
        <v>8.9899999999999994E-2</v>
      </c>
      <c r="T17">
        <v>0.15690000000000001</v>
      </c>
      <c r="U17">
        <v>237</v>
      </c>
      <c r="V17">
        <v>150</v>
      </c>
      <c r="W17" s="61">
        <v>4.7899999999999998E-2</v>
      </c>
      <c r="X17" s="61">
        <v>4.5269999999999998E-2</v>
      </c>
      <c r="Y17">
        <v>0.34920000000000001</v>
      </c>
      <c r="Z17">
        <v>4.5060000000000003E-2</v>
      </c>
      <c r="AA17">
        <v>7.3270000000000002E-2</v>
      </c>
      <c r="AB17">
        <v>4.5060000000000003E-2</v>
      </c>
      <c r="AD17">
        <v>0</v>
      </c>
      <c r="AF17">
        <v>0</v>
      </c>
      <c r="AG17">
        <v>0.24199999999999999</v>
      </c>
      <c r="AH17">
        <v>1.7999999999999999E-2</v>
      </c>
      <c r="AI17" s="61">
        <v>17</v>
      </c>
      <c r="AJ17" s="61">
        <v>8201.59</v>
      </c>
      <c r="AK17" s="61">
        <v>2850</v>
      </c>
      <c r="AL17" s="174">
        <v>2809.92</v>
      </c>
      <c r="AM17" s="118">
        <v>2.3275999999999999</v>
      </c>
      <c r="AN17" s="118">
        <v>2.3212000000000002</v>
      </c>
      <c r="AO17" s="174">
        <v>2362.4699999999998</v>
      </c>
      <c r="AP17" s="118">
        <v>2.0156000000000001</v>
      </c>
      <c r="AQ17" s="174">
        <v>2812.33</v>
      </c>
      <c r="AR17" s="118">
        <v>2.3273999999999999</v>
      </c>
      <c r="AS17" s="118">
        <v>2.3208000000000002</v>
      </c>
      <c r="AT17" s="174">
        <v>2365.0100000000002</v>
      </c>
      <c r="AU17" s="118">
        <v>2.0175000000000001</v>
      </c>
      <c r="AV17" s="61">
        <v>1.0056764320069</v>
      </c>
      <c r="AW17">
        <v>1</v>
      </c>
      <c r="AX17">
        <v>3.9030000000000002E-2</v>
      </c>
      <c r="AY17">
        <v>3.3230000000000003E-2</v>
      </c>
      <c r="AZ17">
        <v>0.24681</v>
      </c>
      <c r="BA17">
        <v>0.30499999999999999</v>
      </c>
      <c r="BB17" s="73">
        <v>1</v>
      </c>
      <c r="BC17">
        <v>1.00634</v>
      </c>
      <c r="BD17" s="74">
        <v>0.99960000000000004</v>
      </c>
      <c r="BE17" s="79" t="s">
        <v>517</v>
      </c>
      <c r="BF17" s="79" t="s">
        <v>517</v>
      </c>
      <c r="BG17" s="72" t="s">
        <v>280</v>
      </c>
      <c r="BH17" s="72"/>
      <c r="BI17"/>
      <c r="BJ17">
        <v>1</v>
      </c>
      <c r="BK17" s="61" t="str">
        <f t="shared" si="0"/>
        <v>00</v>
      </c>
      <c r="BL17" s="61" t="s">
        <v>518</v>
      </c>
      <c r="BM17" s="61">
        <v>1</v>
      </c>
      <c r="BN17" s="146">
        <v>1.0015539121000001</v>
      </c>
    </row>
    <row r="18" spans="1:66" x14ac:dyDescent="0.25">
      <c r="A18" s="79" t="s">
        <v>150</v>
      </c>
      <c r="B18" t="s">
        <v>315</v>
      </c>
      <c r="C18" s="72" t="s">
        <v>522</v>
      </c>
      <c r="D18" s="72" t="s">
        <v>522</v>
      </c>
      <c r="E18" s="72" t="s">
        <v>522</v>
      </c>
      <c r="F18" s="72" t="s">
        <v>526</v>
      </c>
      <c r="G18" s="72" t="s">
        <v>523</v>
      </c>
      <c r="H18" s="72" t="s">
        <v>515</v>
      </c>
      <c r="I18" s="72" t="s">
        <v>524</v>
      </c>
      <c r="J18" s="72" t="s">
        <v>528</v>
      </c>
      <c r="K18" s="72" t="s">
        <v>281</v>
      </c>
      <c r="L18" s="61">
        <v>1.0083</v>
      </c>
      <c r="M18" s="72"/>
      <c r="N18" s="72" t="s">
        <v>141</v>
      </c>
      <c r="O18" s="72" t="s">
        <v>141</v>
      </c>
      <c r="P18" s="72"/>
      <c r="R18">
        <v>1</v>
      </c>
      <c r="S18">
        <v>0.5282</v>
      </c>
      <c r="T18">
        <v>0.54549999999999998</v>
      </c>
      <c r="U18">
        <v>659</v>
      </c>
      <c r="V18">
        <v>613</v>
      </c>
      <c r="W18" s="502">
        <v>0.23066</v>
      </c>
      <c r="X18" s="502">
        <v>0.16761000000000001</v>
      </c>
      <c r="Y18">
        <v>0.43109999999999998</v>
      </c>
      <c r="Z18">
        <v>6.1949999999999998E-2</v>
      </c>
      <c r="AA18">
        <v>9.1219999999999996E-2</v>
      </c>
      <c r="AB18">
        <v>6.1949999999999998E-2</v>
      </c>
      <c r="AC18">
        <v>1.4300000000000001E-3</v>
      </c>
      <c r="AD18">
        <v>1155.8</v>
      </c>
      <c r="AE18">
        <v>1.32E-3</v>
      </c>
      <c r="AF18">
        <v>1083.95</v>
      </c>
      <c r="AG18">
        <v>0.14899999999999999</v>
      </c>
      <c r="AH18">
        <v>7.0000000000000001E-3</v>
      </c>
      <c r="AI18" s="61">
        <v>7</v>
      </c>
      <c r="AK18" s="61">
        <v>7006</v>
      </c>
      <c r="AL18" s="174">
        <v>6926.31</v>
      </c>
      <c r="AM18" s="118">
        <v>2.5284</v>
      </c>
      <c r="AN18" s="118">
        <v>2.5249999999999999</v>
      </c>
      <c r="AO18" s="174">
        <v>4844.5200000000004</v>
      </c>
      <c r="AP18" s="118">
        <v>2.5379</v>
      </c>
      <c r="AQ18" s="174">
        <v>6932.92</v>
      </c>
      <c r="AR18" s="118">
        <v>2.5474999999999999</v>
      </c>
      <c r="AS18" s="118">
        <v>2.5449000000000002</v>
      </c>
      <c r="AT18" s="174">
        <v>4848.62</v>
      </c>
      <c r="AU18" s="118">
        <v>2.5522999999999998</v>
      </c>
      <c r="AV18" s="61">
        <v>1.0056764320069</v>
      </c>
      <c r="AW18">
        <v>1</v>
      </c>
      <c r="AX18">
        <v>9.5750000000000002E-2</v>
      </c>
      <c r="AY18">
        <v>3.5810000000000002E-2</v>
      </c>
      <c r="AZ18">
        <v>0.19974</v>
      </c>
      <c r="BA18">
        <v>0.3614</v>
      </c>
      <c r="BB18" s="73">
        <v>1</v>
      </c>
      <c r="BC18">
        <v>1.00214</v>
      </c>
      <c r="BD18" s="74">
        <v>1</v>
      </c>
      <c r="BE18" s="79" t="s">
        <v>517</v>
      </c>
      <c r="BF18" s="79" t="s">
        <v>517</v>
      </c>
      <c r="BG18" s="72" t="s">
        <v>72</v>
      </c>
      <c r="BH18" s="72"/>
      <c r="BI18"/>
      <c r="BJ18">
        <v>1</v>
      </c>
      <c r="BK18" s="61" t="str">
        <f t="shared" si="0"/>
        <v>00</v>
      </c>
      <c r="BL18" s="61" t="s">
        <v>518</v>
      </c>
      <c r="BM18" s="61">
        <v>1</v>
      </c>
      <c r="BN18" s="146">
        <v>1.0000622919</v>
      </c>
    </row>
    <row r="19" spans="1:66" x14ac:dyDescent="0.25">
      <c r="A19" s="79" t="s">
        <v>316</v>
      </c>
      <c r="B19" t="s">
        <v>317</v>
      </c>
      <c r="C19" s="72" t="s">
        <v>519</v>
      </c>
      <c r="D19" s="72" t="s">
        <v>519</v>
      </c>
      <c r="E19" s="72" t="s">
        <v>519</v>
      </c>
      <c r="F19" s="72" t="s">
        <v>519</v>
      </c>
      <c r="G19" s="72" t="s">
        <v>520</v>
      </c>
      <c r="H19" s="72" t="s">
        <v>515</v>
      </c>
      <c r="I19" s="72" t="s">
        <v>516</v>
      </c>
      <c r="J19" s="72" t="s">
        <v>516</v>
      </c>
      <c r="K19" s="72" t="s">
        <v>79</v>
      </c>
      <c r="L19" s="61">
        <v>1.0083</v>
      </c>
      <c r="M19" s="72"/>
      <c r="N19" s="72"/>
      <c r="O19" s="72"/>
      <c r="P19" s="72"/>
      <c r="R19">
        <v>1</v>
      </c>
      <c r="S19">
        <v>0</v>
      </c>
      <c r="T19">
        <v>0</v>
      </c>
      <c r="U19">
        <v>139</v>
      </c>
      <c r="V19">
        <v>79</v>
      </c>
      <c r="W19" s="61">
        <v>0</v>
      </c>
      <c r="X19" s="61">
        <v>0</v>
      </c>
      <c r="Y19">
        <v>0.22409999999999999</v>
      </c>
      <c r="Z19">
        <v>1.9259999999999999E-2</v>
      </c>
      <c r="AA19">
        <v>4.6429999999999999E-2</v>
      </c>
      <c r="AB19">
        <v>1.9259999999999999E-2</v>
      </c>
      <c r="AC19">
        <v>1.3899999999999999E-4</v>
      </c>
      <c r="AD19">
        <v>323.63</v>
      </c>
      <c r="AE19">
        <v>2.6400000000000002E-4</v>
      </c>
      <c r="AF19">
        <v>667.26</v>
      </c>
      <c r="AG19">
        <v>0.17299999999999999</v>
      </c>
      <c r="AH19">
        <v>8.9999999999999993E-3</v>
      </c>
      <c r="AI19" s="61">
        <v>0</v>
      </c>
      <c r="AK19" s="61">
        <v>2512</v>
      </c>
      <c r="AL19" s="174">
        <v>2460.9299999999998</v>
      </c>
      <c r="AM19" s="118">
        <v>2.0701000000000001</v>
      </c>
      <c r="AN19" s="118">
        <v>2.0655000000000001</v>
      </c>
      <c r="AO19" s="174"/>
      <c r="AP19" s="118"/>
      <c r="AQ19" s="174">
        <v>2462.9499999999998</v>
      </c>
      <c r="AR19" s="118">
        <v>2.0703999999999998</v>
      </c>
      <c r="AS19" s="118">
        <v>2.0638000000000001</v>
      </c>
      <c r="AT19" s="174"/>
      <c r="AU19" s="118"/>
      <c r="AV19" s="61">
        <v>1.0056764320069</v>
      </c>
      <c r="AW19">
        <v>1</v>
      </c>
      <c r="AX19">
        <v>5.5539999999999999E-2</v>
      </c>
      <c r="AY19">
        <v>1.78E-2</v>
      </c>
      <c r="AZ19">
        <v>0.30192000000000002</v>
      </c>
      <c r="BA19">
        <v>0.19270000000000001</v>
      </c>
      <c r="BB19" s="73">
        <v>1</v>
      </c>
      <c r="BC19">
        <v>1.0033300000000001</v>
      </c>
      <c r="BD19" s="74">
        <v>0.99009999999999998</v>
      </c>
      <c r="BE19" s="79" t="s">
        <v>517</v>
      </c>
      <c r="BF19" s="79" t="s">
        <v>517</v>
      </c>
      <c r="BG19" s="72" t="s">
        <v>280</v>
      </c>
      <c r="BH19" s="72"/>
      <c r="BI19"/>
      <c r="BJ19">
        <v>1</v>
      </c>
      <c r="BK19" s="61" t="str">
        <f t="shared" si="0"/>
        <v>00</v>
      </c>
      <c r="BL19" s="61" t="s">
        <v>525</v>
      </c>
      <c r="BM19" s="61">
        <v>0.99050000000000005</v>
      </c>
      <c r="BN19" s="146">
        <v>1.0054321246</v>
      </c>
    </row>
    <row r="20" spans="1:66" x14ac:dyDescent="0.25">
      <c r="A20" s="79" t="s">
        <v>151</v>
      </c>
      <c r="B20" t="s">
        <v>318</v>
      </c>
      <c r="C20" s="72" t="s">
        <v>522</v>
      </c>
      <c r="D20" s="72" t="s">
        <v>522</v>
      </c>
      <c r="E20" s="72" t="s">
        <v>522</v>
      </c>
      <c r="F20" s="72" t="s">
        <v>526</v>
      </c>
      <c r="G20" s="72" t="s">
        <v>533</v>
      </c>
      <c r="H20" s="72" t="s">
        <v>515</v>
      </c>
      <c r="I20" s="72" t="s">
        <v>524</v>
      </c>
      <c r="J20" s="72" t="s">
        <v>528</v>
      </c>
      <c r="K20" s="72" t="s">
        <v>281</v>
      </c>
      <c r="L20" s="61">
        <v>1.0083</v>
      </c>
      <c r="M20" s="72"/>
      <c r="N20" s="72" t="s">
        <v>141</v>
      </c>
      <c r="O20" s="72" t="s">
        <v>141</v>
      </c>
      <c r="P20" s="72"/>
      <c r="R20">
        <v>1</v>
      </c>
      <c r="S20">
        <v>0.19750000000000001</v>
      </c>
      <c r="T20">
        <v>0.37709999999999999</v>
      </c>
      <c r="U20">
        <v>400</v>
      </c>
      <c r="V20">
        <v>211</v>
      </c>
      <c r="W20" s="61">
        <v>0.10223</v>
      </c>
      <c r="X20" s="61">
        <v>0.11229</v>
      </c>
      <c r="Y20">
        <v>0.37609999999999999</v>
      </c>
      <c r="Z20">
        <v>5.0610000000000002E-2</v>
      </c>
      <c r="AA20">
        <v>7.9140000000000002E-2</v>
      </c>
      <c r="AB20">
        <v>5.0610000000000002E-2</v>
      </c>
      <c r="AC20">
        <v>4.5800000000000002E-4</v>
      </c>
      <c r="AD20">
        <v>1812.67</v>
      </c>
      <c r="AE20">
        <v>4.1100000000000002E-4</v>
      </c>
      <c r="AF20">
        <v>1784.16</v>
      </c>
      <c r="AG20">
        <v>0.182</v>
      </c>
      <c r="AH20">
        <v>1.6E-2</v>
      </c>
      <c r="AI20" s="61">
        <v>7</v>
      </c>
      <c r="AK20" s="61">
        <v>1355</v>
      </c>
      <c r="AL20" s="174">
        <v>1336.81</v>
      </c>
      <c r="AM20" s="118">
        <v>2.6312000000000002</v>
      </c>
      <c r="AN20" s="118">
        <v>2.6278999999999999</v>
      </c>
      <c r="AO20" s="174">
        <v>4885.59</v>
      </c>
      <c r="AP20" s="118">
        <v>2.0526</v>
      </c>
      <c r="AQ20" s="174">
        <v>1338.46</v>
      </c>
      <c r="AR20" s="118">
        <v>2.5924999999999998</v>
      </c>
      <c r="AS20" s="118">
        <v>2.5889000000000002</v>
      </c>
      <c r="AT20" s="174">
        <v>4893.46</v>
      </c>
      <c r="AU20" s="118">
        <v>2.0522</v>
      </c>
      <c r="AV20" s="61">
        <v>1.0056764320069</v>
      </c>
      <c r="AW20">
        <v>1</v>
      </c>
      <c r="AX20">
        <v>5.355E-2</v>
      </c>
      <c r="AY20">
        <v>6.9070000000000006E-2</v>
      </c>
      <c r="AZ20">
        <v>7.9769999999999994E-2</v>
      </c>
      <c r="BA20">
        <v>0.33090000000000003</v>
      </c>
      <c r="BB20" s="73">
        <v>1</v>
      </c>
      <c r="BC20">
        <v>1.01132</v>
      </c>
      <c r="BD20" s="74">
        <v>0.99950000000000006</v>
      </c>
      <c r="BE20" s="79" t="s">
        <v>517</v>
      </c>
      <c r="BF20" s="79" t="s">
        <v>517</v>
      </c>
      <c r="BG20" s="72" t="s">
        <v>280</v>
      </c>
      <c r="BH20" s="72"/>
      <c r="BI20"/>
      <c r="BJ20">
        <v>1</v>
      </c>
      <c r="BK20" s="61" t="str">
        <f t="shared" si="0"/>
        <v>00</v>
      </c>
      <c r="BL20" s="61" t="s">
        <v>518</v>
      </c>
      <c r="BM20" s="61">
        <v>0.99970000000000003</v>
      </c>
      <c r="BN20" s="146">
        <v>1.0124427397</v>
      </c>
    </row>
    <row r="21" spans="1:66" x14ac:dyDescent="0.25">
      <c r="A21" s="79" t="s">
        <v>319</v>
      </c>
      <c r="B21" t="s">
        <v>320</v>
      </c>
      <c r="C21" s="72" t="s">
        <v>531</v>
      </c>
      <c r="D21" s="72" t="s">
        <v>531</v>
      </c>
      <c r="E21" s="72" t="s">
        <v>531</v>
      </c>
      <c r="F21" s="72" t="s">
        <v>531</v>
      </c>
      <c r="G21" s="72" t="s">
        <v>532</v>
      </c>
      <c r="H21" s="72" t="s">
        <v>515</v>
      </c>
      <c r="I21" s="72" t="s">
        <v>516</v>
      </c>
      <c r="J21" s="72" t="s">
        <v>516</v>
      </c>
      <c r="K21" s="72" t="s">
        <v>79</v>
      </c>
      <c r="L21" s="61">
        <v>1.0083</v>
      </c>
      <c r="M21" s="72"/>
      <c r="N21" s="72"/>
      <c r="O21" s="72"/>
      <c r="P21" s="72"/>
      <c r="R21">
        <v>1</v>
      </c>
      <c r="S21">
        <v>0</v>
      </c>
      <c r="T21">
        <v>0</v>
      </c>
      <c r="U21">
        <v>101</v>
      </c>
      <c r="V21">
        <v>21</v>
      </c>
      <c r="W21" s="61">
        <v>0</v>
      </c>
      <c r="X21" s="61">
        <v>0</v>
      </c>
      <c r="Y21">
        <v>0.1731</v>
      </c>
      <c r="Z21">
        <v>0.01</v>
      </c>
      <c r="AA21">
        <v>3.567E-2</v>
      </c>
      <c r="AB21">
        <v>0.01</v>
      </c>
      <c r="AC21">
        <v>8.7000000000000001E-5</v>
      </c>
      <c r="AD21">
        <v>929</v>
      </c>
      <c r="AE21">
        <v>8.8999999999999995E-5</v>
      </c>
      <c r="AF21">
        <v>916.7</v>
      </c>
      <c r="AG21">
        <v>0.38900000000000001</v>
      </c>
      <c r="AH21">
        <v>5.8000000000000003E-2</v>
      </c>
      <c r="AI21" s="61">
        <v>0</v>
      </c>
      <c r="AK21" s="61">
        <v>484</v>
      </c>
      <c r="AL21" s="174">
        <v>466.56</v>
      </c>
      <c r="AM21" s="118">
        <v>1.6898</v>
      </c>
      <c r="AN21" s="118">
        <v>1.6856</v>
      </c>
      <c r="AO21" s="174"/>
      <c r="AP21" s="118"/>
      <c r="AQ21" s="174">
        <v>467.66</v>
      </c>
      <c r="AR21" s="118">
        <v>1.6914</v>
      </c>
      <c r="AS21" s="118">
        <v>1.6874</v>
      </c>
      <c r="AT21" s="174"/>
      <c r="AU21" s="118"/>
      <c r="AV21" s="61">
        <v>1.0056764320069</v>
      </c>
      <c r="AW21">
        <v>1</v>
      </c>
      <c r="AX21">
        <v>4.1779999999999998E-2</v>
      </c>
      <c r="AY21">
        <v>0.13749</v>
      </c>
      <c r="AZ21">
        <v>0.29088000000000003</v>
      </c>
      <c r="BA21">
        <v>0.14940000000000001</v>
      </c>
      <c r="BB21" s="73">
        <v>1</v>
      </c>
      <c r="BC21">
        <v>0.98736000000000002</v>
      </c>
      <c r="BD21" s="74">
        <v>1</v>
      </c>
      <c r="BE21" s="79" t="s">
        <v>517</v>
      </c>
      <c r="BF21" s="79" t="s">
        <v>517</v>
      </c>
      <c r="BG21" s="72" t="s">
        <v>280</v>
      </c>
      <c r="BH21" s="72"/>
      <c r="BI21"/>
      <c r="BJ21">
        <v>1</v>
      </c>
      <c r="BK21" s="61" t="str">
        <f t="shared" si="0"/>
        <v>00</v>
      </c>
      <c r="BL21" s="61" t="s">
        <v>518</v>
      </c>
      <c r="BM21" s="61">
        <v>0.99960000000000004</v>
      </c>
      <c r="BN21" s="146">
        <v>1.0043134094999999</v>
      </c>
    </row>
    <row r="22" spans="1:66" x14ac:dyDescent="0.25">
      <c r="A22" s="79" t="s">
        <v>152</v>
      </c>
      <c r="B22" t="s">
        <v>321</v>
      </c>
      <c r="C22" s="72" t="s">
        <v>537</v>
      </c>
      <c r="D22" s="72" t="s">
        <v>537</v>
      </c>
      <c r="E22" s="72" t="s">
        <v>526</v>
      </c>
      <c r="F22" s="72" t="s">
        <v>526</v>
      </c>
      <c r="G22" s="72" t="s">
        <v>538</v>
      </c>
      <c r="H22" s="72" t="s">
        <v>515</v>
      </c>
      <c r="I22" s="72" t="s">
        <v>516</v>
      </c>
      <c r="J22" s="72" t="s">
        <v>528</v>
      </c>
      <c r="K22" s="72" t="s">
        <v>277</v>
      </c>
      <c r="L22" s="61">
        <v>1.0083</v>
      </c>
      <c r="M22" s="72"/>
      <c r="N22" s="72" t="s">
        <v>141</v>
      </c>
      <c r="O22" s="72"/>
      <c r="P22" s="72"/>
      <c r="R22">
        <v>1</v>
      </c>
      <c r="S22">
        <v>9.4999999999999998E-3</v>
      </c>
      <c r="T22">
        <v>1.4999999999999999E-2</v>
      </c>
      <c r="U22">
        <v>484</v>
      </c>
      <c r="V22">
        <v>311</v>
      </c>
      <c r="W22" s="61">
        <v>5.1799999999999997E-3</v>
      </c>
      <c r="X22" s="61">
        <v>4.2399999999999998E-3</v>
      </c>
      <c r="Y22">
        <v>0.31809999999999999</v>
      </c>
      <c r="Z22">
        <v>3.8649999999999997E-2</v>
      </c>
      <c r="AA22">
        <v>6.6540000000000002E-2</v>
      </c>
      <c r="AB22">
        <v>3.8649999999999997E-2</v>
      </c>
      <c r="AC22">
        <v>5.31E-4</v>
      </c>
      <c r="AD22">
        <v>551.76</v>
      </c>
      <c r="AE22">
        <v>5.0199999999999995E-4</v>
      </c>
      <c r="AF22">
        <v>519.48</v>
      </c>
      <c r="AG22">
        <v>0.16300000000000001</v>
      </c>
      <c r="AH22">
        <v>1.2999999999999999E-2</v>
      </c>
      <c r="AI22" s="61">
        <v>7</v>
      </c>
      <c r="AK22" s="61">
        <v>5371</v>
      </c>
      <c r="AL22" s="174">
        <v>5252.32</v>
      </c>
      <c r="AM22" s="118">
        <v>2.1065</v>
      </c>
      <c r="AN22" s="118">
        <v>2.0945999999999998</v>
      </c>
      <c r="AO22" s="174">
        <v>6033.33</v>
      </c>
      <c r="AP22" s="118">
        <v>1.9903</v>
      </c>
      <c r="AQ22" s="174">
        <v>5261.32</v>
      </c>
      <c r="AR22" s="118">
        <v>2.1150000000000002</v>
      </c>
      <c r="AS22" s="118">
        <v>2.1030000000000002</v>
      </c>
      <c r="AT22" s="174">
        <v>6043.21</v>
      </c>
      <c r="AU22" s="118">
        <v>1.9907999999999999</v>
      </c>
      <c r="AV22" s="61">
        <v>1.0056764320069</v>
      </c>
      <c r="AW22">
        <v>1</v>
      </c>
      <c r="AX22">
        <v>1.7420000000000001E-2</v>
      </c>
      <c r="AY22">
        <v>1.7999999999999999E-2</v>
      </c>
      <c r="AZ22">
        <v>0.20533000000000001</v>
      </c>
      <c r="BA22">
        <v>0.27189999999999998</v>
      </c>
      <c r="BB22" s="73">
        <v>1</v>
      </c>
      <c r="BC22">
        <v>1.00048</v>
      </c>
      <c r="BD22" s="74">
        <v>1</v>
      </c>
      <c r="BE22" s="79" t="s">
        <v>517</v>
      </c>
      <c r="BF22" s="79" t="s">
        <v>517</v>
      </c>
      <c r="BG22" s="72" t="s">
        <v>280</v>
      </c>
      <c r="BH22" s="72"/>
      <c r="BI22"/>
      <c r="BJ22">
        <v>1</v>
      </c>
      <c r="BK22" s="61" t="str">
        <f t="shared" si="0"/>
        <v>00</v>
      </c>
      <c r="BL22" s="61" t="s">
        <v>518</v>
      </c>
      <c r="BM22" s="61">
        <v>0.99870000000000003</v>
      </c>
      <c r="BN22" s="146">
        <v>1.0025234651999999</v>
      </c>
    </row>
    <row r="23" spans="1:66" x14ac:dyDescent="0.25">
      <c r="A23" s="79" t="s">
        <v>153</v>
      </c>
      <c r="B23" t="s">
        <v>322</v>
      </c>
      <c r="C23" s="72" t="s">
        <v>522</v>
      </c>
      <c r="D23" s="72" t="s">
        <v>522</v>
      </c>
      <c r="E23" s="72" t="s">
        <v>522</v>
      </c>
      <c r="F23" s="72" t="s">
        <v>526</v>
      </c>
      <c r="G23" s="72" t="s">
        <v>533</v>
      </c>
      <c r="H23" s="72" t="s">
        <v>515</v>
      </c>
      <c r="I23" s="72" t="s">
        <v>524</v>
      </c>
      <c r="J23" s="72" t="s">
        <v>528</v>
      </c>
      <c r="K23" s="72" t="s">
        <v>281</v>
      </c>
      <c r="L23" s="61">
        <v>1.0083</v>
      </c>
      <c r="M23" s="72"/>
      <c r="N23" s="72" t="s">
        <v>141</v>
      </c>
      <c r="O23" s="72" t="s">
        <v>141</v>
      </c>
      <c r="P23" s="72"/>
      <c r="R23">
        <v>1</v>
      </c>
      <c r="S23">
        <v>4.8899999999999999E-2</v>
      </c>
      <c r="T23">
        <v>9.0700000000000003E-2</v>
      </c>
      <c r="U23">
        <v>230</v>
      </c>
      <c r="V23">
        <v>116</v>
      </c>
      <c r="W23" s="61">
        <v>2.6360000000000001E-2</v>
      </c>
      <c r="X23" s="61">
        <v>2.5930000000000002E-2</v>
      </c>
      <c r="Y23">
        <v>0.32300000000000001</v>
      </c>
      <c r="Z23">
        <v>3.9660000000000001E-2</v>
      </c>
      <c r="AA23">
        <v>6.7589999999999997E-2</v>
      </c>
      <c r="AB23">
        <v>3.9660000000000001E-2</v>
      </c>
      <c r="AC23">
        <v>1.66E-4</v>
      </c>
      <c r="AD23">
        <v>638.28</v>
      </c>
      <c r="AE23">
        <v>1.5799999999999999E-4</v>
      </c>
      <c r="AF23">
        <v>579.54999999999995</v>
      </c>
      <c r="AG23">
        <v>8.5999999999999993E-2</v>
      </c>
      <c r="AH23">
        <v>0.01</v>
      </c>
      <c r="AI23" s="61">
        <v>7</v>
      </c>
      <c r="AK23" s="61">
        <v>1388</v>
      </c>
      <c r="AL23" s="174">
        <v>1361.34</v>
      </c>
      <c r="AM23" s="118">
        <v>1.9811000000000001</v>
      </c>
      <c r="AN23" s="118">
        <v>1.9769000000000001</v>
      </c>
      <c r="AO23" s="174">
        <v>1449.94</v>
      </c>
      <c r="AP23" s="118">
        <v>1.9072</v>
      </c>
      <c r="AQ23" s="174">
        <v>1363.25</v>
      </c>
      <c r="AR23" s="118">
        <v>1.9733000000000001</v>
      </c>
      <c r="AS23" s="118">
        <v>1.9693000000000001</v>
      </c>
      <c r="AT23" s="174">
        <v>1451.88</v>
      </c>
      <c r="AU23" s="118">
        <v>1.8980999999999999</v>
      </c>
      <c r="AV23" s="61">
        <v>1.0056764320069</v>
      </c>
      <c r="AW23">
        <v>1</v>
      </c>
      <c r="AX23">
        <v>3.0689999999999999E-2</v>
      </c>
      <c r="AY23">
        <v>5.8540000000000002E-2</v>
      </c>
      <c r="AZ23">
        <v>0.1295</v>
      </c>
      <c r="BA23">
        <v>0.2611</v>
      </c>
      <c r="BB23" s="73">
        <v>1</v>
      </c>
      <c r="BC23">
        <v>1.00301</v>
      </c>
      <c r="BD23" s="74">
        <v>0.99670000000000003</v>
      </c>
      <c r="BE23" s="79" t="s">
        <v>517</v>
      </c>
      <c r="BF23" s="79" t="s">
        <v>517</v>
      </c>
      <c r="BG23" s="72" t="s">
        <v>171</v>
      </c>
      <c r="BH23" s="72"/>
      <c r="BI23"/>
      <c r="BJ23">
        <v>1</v>
      </c>
      <c r="BK23" s="61" t="str">
        <f t="shared" si="0"/>
        <v>00</v>
      </c>
      <c r="BL23" s="61" t="s">
        <v>518</v>
      </c>
      <c r="BM23" s="61">
        <v>0.99099999999999999</v>
      </c>
      <c r="BN23" s="146">
        <v>0.9954382692</v>
      </c>
    </row>
    <row r="24" spans="1:66" x14ac:dyDescent="0.25">
      <c r="A24" s="79" t="s">
        <v>154</v>
      </c>
      <c r="B24" t="s">
        <v>323</v>
      </c>
      <c r="C24" s="72" t="s">
        <v>522</v>
      </c>
      <c r="D24" s="72" t="s">
        <v>522</v>
      </c>
      <c r="E24" s="72" t="s">
        <v>522</v>
      </c>
      <c r="F24" s="72" t="s">
        <v>526</v>
      </c>
      <c r="G24" s="72" t="s">
        <v>541</v>
      </c>
      <c r="H24" s="72" t="s">
        <v>515</v>
      </c>
      <c r="I24" s="72" t="s">
        <v>524</v>
      </c>
      <c r="J24" s="72" t="s">
        <v>528</v>
      </c>
      <c r="K24" s="72" t="s">
        <v>281</v>
      </c>
      <c r="L24" s="61">
        <v>1.0083</v>
      </c>
      <c r="M24" s="72"/>
      <c r="N24" s="72" t="s">
        <v>141</v>
      </c>
      <c r="O24" s="72" t="s">
        <v>141</v>
      </c>
      <c r="P24" s="72"/>
      <c r="R24">
        <v>1</v>
      </c>
      <c r="S24">
        <v>0.1099</v>
      </c>
      <c r="T24">
        <v>0.1338</v>
      </c>
      <c r="U24">
        <v>350</v>
      </c>
      <c r="V24">
        <v>291</v>
      </c>
      <c r="W24" s="61">
        <v>5.8229999999999997E-2</v>
      </c>
      <c r="X24" s="61">
        <v>3.848E-2</v>
      </c>
      <c r="Y24">
        <v>0.31979999999999997</v>
      </c>
      <c r="Z24">
        <v>3.9E-2</v>
      </c>
      <c r="AA24">
        <v>6.6900000000000001E-2</v>
      </c>
      <c r="AB24">
        <v>3.9E-2</v>
      </c>
      <c r="AC24">
        <v>4.1300000000000001E-4</v>
      </c>
      <c r="AD24">
        <v>630.80999999999995</v>
      </c>
      <c r="AE24">
        <v>3.8499999999999998E-4</v>
      </c>
      <c r="AF24">
        <v>562.44000000000005</v>
      </c>
      <c r="AG24">
        <v>7.0999999999999994E-2</v>
      </c>
      <c r="AH24">
        <v>0.01</v>
      </c>
      <c r="AI24" s="61">
        <v>7</v>
      </c>
      <c r="AK24" s="61">
        <v>3467</v>
      </c>
      <c r="AL24" s="174">
        <v>3406.1</v>
      </c>
      <c r="AM24" s="118">
        <v>2.2945000000000002</v>
      </c>
      <c r="AN24" s="118">
        <v>2.2810000000000001</v>
      </c>
      <c r="AO24" s="174">
        <v>4361.57</v>
      </c>
      <c r="AP24" s="118">
        <v>2.0817000000000001</v>
      </c>
      <c r="AQ24" s="174">
        <v>3411.4</v>
      </c>
      <c r="AR24" s="118">
        <v>2.2806999999999999</v>
      </c>
      <c r="AS24" s="118">
        <v>2.2707999999999999</v>
      </c>
      <c r="AT24" s="174">
        <v>4367.29</v>
      </c>
      <c r="AU24" s="118">
        <v>2.0718999999999999</v>
      </c>
      <c r="AV24" s="61">
        <v>1.0056764320069</v>
      </c>
      <c r="AW24">
        <v>1</v>
      </c>
      <c r="AX24">
        <v>4.8300000000000003E-2</v>
      </c>
      <c r="AY24">
        <v>0.13569999999999999</v>
      </c>
      <c r="AZ24">
        <v>0.20619999999999999</v>
      </c>
      <c r="BA24">
        <v>0.28899999999999998</v>
      </c>
      <c r="BB24" s="73">
        <v>1</v>
      </c>
      <c r="BC24">
        <v>1.00404</v>
      </c>
      <c r="BD24" s="74">
        <v>0.99960000000000004</v>
      </c>
      <c r="BE24" s="79" t="s">
        <v>517</v>
      </c>
      <c r="BF24" s="79" t="s">
        <v>517</v>
      </c>
      <c r="BG24" s="72" t="s">
        <v>171</v>
      </c>
      <c r="BH24" s="72"/>
      <c r="BI24"/>
      <c r="BJ24">
        <v>1</v>
      </c>
      <c r="BK24" s="61" t="str">
        <f t="shared" si="0"/>
        <v>00</v>
      </c>
      <c r="BL24" s="61" t="s">
        <v>518</v>
      </c>
      <c r="BM24" s="61">
        <v>1</v>
      </c>
      <c r="BN24" s="146">
        <v>1.001181007</v>
      </c>
    </row>
    <row r="25" spans="1:66" x14ac:dyDescent="0.25">
      <c r="A25" s="79" t="s">
        <v>324</v>
      </c>
      <c r="B25" t="s">
        <v>325</v>
      </c>
      <c r="C25" s="72" t="s">
        <v>526</v>
      </c>
      <c r="D25" s="72" t="s">
        <v>526</v>
      </c>
      <c r="E25" s="72" t="s">
        <v>526</v>
      </c>
      <c r="F25" s="72" t="s">
        <v>526</v>
      </c>
      <c r="G25" s="72" t="s">
        <v>542</v>
      </c>
      <c r="H25" s="72" t="s">
        <v>515</v>
      </c>
      <c r="I25" s="72" t="s">
        <v>528</v>
      </c>
      <c r="J25" s="72" t="s">
        <v>528</v>
      </c>
      <c r="K25" s="72" t="s">
        <v>79</v>
      </c>
      <c r="L25" s="61">
        <v>1.0083</v>
      </c>
      <c r="M25" s="72"/>
      <c r="N25" s="72"/>
      <c r="O25" s="72"/>
      <c r="P25" s="72"/>
      <c r="R25">
        <v>1</v>
      </c>
      <c r="S25">
        <v>0</v>
      </c>
      <c r="T25">
        <v>0</v>
      </c>
      <c r="U25">
        <v>36</v>
      </c>
      <c r="V25">
        <v>6</v>
      </c>
      <c r="W25" s="61">
        <v>0</v>
      </c>
      <c r="X25" s="61">
        <v>0</v>
      </c>
      <c r="Y25">
        <v>0.45129999999999998</v>
      </c>
      <c r="Z25">
        <v>0.03</v>
      </c>
      <c r="AA25">
        <v>0</v>
      </c>
      <c r="AB25">
        <v>0.03</v>
      </c>
      <c r="AD25">
        <v>0</v>
      </c>
      <c r="AF25">
        <v>0</v>
      </c>
      <c r="AG25">
        <v>0.371</v>
      </c>
      <c r="AH25">
        <v>2.5000000000000001E-2</v>
      </c>
      <c r="AI25" s="61">
        <v>16</v>
      </c>
      <c r="AJ25" s="61">
        <v>7764.24</v>
      </c>
      <c r="AK25" s="61">
        <v>184</v>
      </c>
      <c r="AL25" s="174">
        <v>177.07</v>
      </c>
      <c r="AM25" s="118">
        <v>1.4229000000000001</v>
      </c>
      <c r="AN25" s="118">
        <v>1.4071</v>
      </c>
      <c r="AO25" s="174"/>
      <c r="AP25" s="118"/>
      <c r="AQ25" s="174">
        <v>177.62</v>
      </c>
      <c r="AR25" s="118">
        <v>1.4189000000000001</v>
      </c>
      <c r="AS25" s="118">
        <v>1.4048</v>
      </c>
      <c r="AT25" s="174"/>
      <c r="AU25" s="118"/>
      <c r="AV25" s="61">
        <v>1.0056764320069</v>
      </c>
      <c r="AW25">
        <v>1</v>
      </c>
      <c r="AX25">
        <v>1.788E-2</v>
      </c>
      <c r="AY25">
        <v>1.4E-2</v>
      </c>
      <c r="AZ25">
        <v>0.35483999999999999</v>
      </c>
      <c r="BA25">
        <v>0.39479999999999998</v>
      </c>
      <c r="BB25" s="73">
        <v>1</v>
      </c>
      <c r="BC25">
        <v>1</v>
      </c>
      <c r="BD25" s="74">
        <v>1</v>
      </c>
      <c r="BE25" s="79" t="s">
        <v>517</v>
      </c>
      <c r="BF25" s="79" t="s">
        <v>517</v>
      </c>
      <c r="BG25" s="72" t="s">
        <v>171</v>
      </c>
      <c r="BH25" s="72"/>
      <c r="BI25"/>
      <c r="BJ25">
        <v>1.25</v>
      </c>
      <c r="BK25" s="61" t="str">
        <f t="shared" si="0"/>
        <v>00</v>
      </c>
      <c r="BL25" s="61" t="s">
        <v>525</v>
      </c>
      <c r="BM25" s="61">
        <v>0.99929999999999997</v>
      </c>
      <c r="BN25" s="146">
        <v>0.99750167720000005</v>
      </c>
    </row>
    <row r="26" spans="1:66" x14ac:dyDescent="0.25">
      <c r="A26" s="79" t="s">
        <v>326</v>
      </c>
      <c r="B26" t="s">
        <v>327</v>
      </c>
      <c r="C26" s="72" t="s">
        <v>526</v>
      </c>
      <c r="D26" s="72" t="s">
        <v>526</v>
      </c>
      <c r="E26" s="72" t="s">
        <v>526</v>
      </c>
      <c r="F26" s="72" t="s">
        <v>526</v>
      </c>
      <c r="G26" s="72" t="s">
        <v>543</v>
      </c>
      <c r="H26" s="72" t="s">
        <v>515</v>
      </c>
      <c r="I26" s="72" t="s">
        <v>528</v>
      </c>
      <c r="J26" s="72" t="s">
        <v>528</v>
      </c>
      <c r="K26" s="72" t="s">
        <v>79</v>
      </c>
      <c r="L26" s="61">
        <v>1.0083</v>
      </c>
      <c r="M26" s="72"/>
      <c r="N26" s="72"/>
      <c r="O26" s="72"/>
      <c r="P26" s="72"/>
      <c r="R26">
        <v>1</v>
      </c>
      <c r="S26">
        <v>0</v>
      </c>
      <c r="T26">
        <v>0</v>
      </c>
      <c r="U26">
        <v>42</v>
      </c>
      <c r="V26">
        <v>9</v>
      </c>
      <c r="W26" s="61">
        <v>0</v>
      </c>
      <c r="X26" s="61">
        <v>0</v>
      </c>
      <c r="Y26">
        <v>0.26329999999999998</v>
      </c>
      <c r="Z26">
        <v>2.734E-2</v>
      </c>
      <c r="AA26">
        <v>0</v>
      </c>
      <c r="AB26">
        <v>2.734E-2</v>
      </c>
      <c r="AD26">
        <v>0</v>
      </c>
      <c r="AF26">
        <v>0</v>
      </c>
      <c r="AG26">
        <v>0.36199999999999999</v>
      </c>
      <c r="AH26">
        <v>4.3999999999999997E-2</v>
      </c>
      <c r="AI26" s="61">
        <v>16</v>
      </c>
      <c r="AJ26" s="61">
        <v>11372.87</v>
      </c>
      <c r="AK26" s="61">
        <v>315</v>
      </c>
      <c r="AL26" s="174">
        <v>305.17</v>
      </c>
      <c r="AM26" s="118">
        <v>1.7512000000000001</v>
      </c>
      <c r="AN26" s="118">
        <v>1.7146999999999999</v>
      </c>
      <c r="AO26" s="174"/>
      <c r="AP26" s="118"/>
      <c r="AQ26" s="174">
        <v>305.7</v>
      </c>
      <c r="AR26" s="118">
        <v>1.7427999999999999</v>
      </c>
      <c r="AS26" s="118">
        <v>1.7092000000000001</v>
      </c>
      <c r="AT26" s="174"/>
      <c r="AU26" s="118"/>
      <c r="AV26" s="61">
        <v>1.0056764320069</v>
      </c>
      <c r="AW26">
        <v>1</v>
      </c>
      <c r="AX26">
        <v>3.09E-2</v>
      </c>
      <c r="AY26">
        <v>6.9510000000000002E-2</v>
      </c>
      <c r="AZ26">
        <v>0.27100000000000002</v>
      </c>
      <c r="BA26">
        <v>0.25629999999999997</v>
      </c>
      <c r="BB26" s="73">
        <v>1</v>
      </c>
      <c r="BC26">
        <v>1</v>
      </c>
      <c r="BD26" s="74">
        <v>1</v>
      </c>
      <c r="BE26" s="79" t="s">
        <v>517</v>
      </c>
      <c r="BF26" s="79" t="s">
        <v>517</v>
      </c>
      <c r="BG26" s="72" t="s">
        <v>280</v>
      </c>
      <c r="BH26" s="72"/>
      <c r="BI26"/>
      <c r="BJ26">
        <v>1.2071969999999936</v>
      </c>
      <c r="BK26" s="61" t="str">
        <f t="shared" si="0"/>
        <v>00</v>
      </c>
      <c r="BL26" s="61" t="s">
        <v>518</v>
      </c>
      <c r="BM26" s="61">
        <v>0.99790000000000001</v>
      </c>
      <c r="BN26" s="146">
        <v>1.0131139687999999</v>
      </c>
    </row>
    <row r="27" spans="1:66" x14ac:dyDescent="0.25">
      <c r="A27" s="79" t="s">
        <v>328</v>
      </c>
      <c r="B27" t="s">
        <v>329</v>
      </c>
      <c r="C27" s="72" t="s">
        <v>539</v>
      </c>
      <c r="D27" s="72" t="s">
        <v>539</v>
      </c>
      <c r="E27" s="72" t="s">
        <v>539</v>
      </c>
      <c r="F27" s="72" t="s">
        <v>539</v>
      </c>
      <c r="G27" s="72" t="s">
        <v>540</v>
      </c>
      <c r="H27" s="72" t="s">
        <v>515</v>
      </c>
      <c r="I27" s="72" t="s">
        <v>516</v>
      </c>
      <c r="J27" s="72" t="s">
        <v>516</v>
      </c>
      <c r="K27" s="72" t="s">
        <v>79</v>
      </c>
      <c r="L27" s="61">
        <v>1.0083</v>
      </c>
      <c r="M27" s="72"/>
      <c r="N27" s="72"/>
      <c r="O27" s="72"/>
      <c r="P27" s="72"/>
      <c r="R27">
        <v>1</v>
      </c>
      <c r="S27">
        <v>0</v>
      </c>
      <c r="T27">
        <v>0</v>
      </c>
      <c r="U27">
        <v>44</v>
      </c>
      <c r="V27">
        <v>22</v>
      </c>
      <c r="W27" s="61">
        <v>0</v>
      </c>
      <c r="X27" s="61">
        <v>0</v>
      </c>
      <c r="Y27">
        <v>0.28660000000000002</v>
      </c>
      <c r="Z27">
        <v>0.03</v>
      </c>
      <c r="AA27">
        <v>0</v>
      </c>
      <c r="AB27">
        <v>0.03</v>
      </c>
      <c r="AC27">
        <v>8.7000000000000001E-5</v>
      </c>
      <c r="AD27">
        <v>736.66</v>
      </c>
      <c r="AE27">
        <v>8.1000000000000004E-5</v>
      </c>
      <c r="AF27">
        <v>677.55</v>
      </c>
      <c r="AG27">
        <v>0.21299999999999999</v>
      </c>
      <c r="AH27">
        <v>0.02</v>
      </c>
      <c r="AI27" s="61">
        <v>0</v>
      </c>
      <c r="AK27" s="61">
        <v>647</v>
      </c>
      <c r="AL27" s="174">
        <v>634.51</v>
      </c>
      <c r="AM27" s="118">
        <v>2.1398000000000001</v>
      </c>
      <c r="AN27" s="118">
        <v>2.1269999999999998</v>
      </c>
      <c r="AO27" s="174"/>
      <c r="AP27" s="118"/>
      <c r="AQ27" s="174">
        <v>636.14</v>
      </c>
      <c r="AR27" s="118">
        <v>2.1423999999999999</v>
      </c>
      <c r="AS27" s="118">
        <v>2.1294</v>
      </c>
      <c r="AT27" s="174"/>
      <c r="AU27" s="118"/>
      <c r="AV27" s="61">
        <v>1.0056764320069</v>
      </c>
      <c r="AW27">
        <v>1</v>
      </c>
      <c r="AX27">
        <v>1.0999999999999999E-2</v>
      </c>
      <c r="AY27">
        <v>2.026E-2</v>
      </c>
      <c r="AZ27">
        <v>0.25591000000000003</v>
      </c>
      <c r="BA27">
        <v>0.25280000000000002</v>
      </c>
      <c r="BB27" s="73">
        <v>1</v>
      </c>
      <c r="BC27">
        <v>1.00871</v>
      </c>
      <c r="BD27" s="74">
        <v>1</v>
      </c>
      <c r="BE27" s="79" t="s">
        <v>517</v>
      </c>
      <c r="BF27" s="79" t="s">
        <v>517</v>
      </c>
      <c r="BG27" s="72" t="s">
        <v>280</v>
      </c>
      <c r="BH27" s="72"/>
      <c r="BI27"/>
      <c r="BJ27">
        <v>1</v>
      </c>
      <c r="BK27" s="61" t="str">
        <f t="shared" si="0"/>
        <v>00</v>
      </c>
      <c r="BL27" s="61" t="s">
        <v>518</v>
      </c>
      <c r="BM27" s="61">
        <v>1</v>
      </c>
      <c r="BN27" s="146">
        <v>1.0015912026</v>
      </c>
    </row>
    <row r="28" spans="1:66" x14ac:dyDescent="0.25">
      <c r="A28" s="79" t="s">
        <v>330</v>
      </c>
      <c r="B28" t="s">
        <v>331</v>
      </c>
      <c r="C28" s="72" t="s">
        <v>522</v>
      </c>
      <c r="D28" s="72" t="s">
        <v>522</v>
      </c>
      <c r="E28" s="72" t="s">
        <v>522</v>
      </c>
      <c r="F28" s="72" t="s">
        <v>526</v>
      </c>
      <c r="G28" s="72" t="s">
        <v>533</v>
      </c>
      <c r="H28" s="72" t="s">
        <v>515</v>
      </c>
      <c r="I28" s="72" t="s">
        <v>524</v>
      </c>
      <c r="J28" s="72" t="s">
        <v>528</v>
      </c>
      <c r="K28" s="72" t="s">
        <v>281</v>
      </c>
      <c r="L28" s="61">
        <v>1.0083</v>
      </c>
      <c r="M28" s="72"/>
      <c r="N28" s="72" t="s">
        <v>141</v>
      </c>
      <c r="O28" s="72" t="s">
        <v>141</v>
      </c>
      <c r="P28" s="72"/>
      <c r="R28">
        <v>1</v>
      </c>
      <c r="S28">
        <v>0</v>
      </c>
      <c r="T28">
        <v>0</v>
      </c>
      <c r="U28">
        <v>180</v>
      </c>
      <c r="V28">
        <v>92</v>
      </c>
      <c r="W28" s="61">
        <v>0</v>
      </c>
      <c r="X28" s="61">
        <v>0</v>
      </c>
      <c r="Y28">
        <v>0.27429999999999999</v>
      </c>
      <c r="Z28">
        <v>2.9610000000000001E-2</v>
      </c>
      <c r="AA28">
        <v>5.7119999999999997E-2</v>
      </c>
      <c r="AB28">
        <v>2.9610000000000001E-2</v>
      </c>
      <c r="AC28">
        <v>1.7200000000000001E-4</v>
      </c>
      <c r="AD28">
        <v>609.79999999999995</v>
      </c>
      <c r="AE28">
        <v>1.5300000000000001E-4</v>
      </c>
      <c r="AF28">
        <v>571.25</v>
      </c>
      <c r="AG28">
        <v>0.19</v>
      </c>
      <c r="AH28">
        <v>1.4E-2</v>
      </c>
      <c r="AI28" s="61">
        <v>7</v>
      </c>
      <c r="AK28" s="61">
        <v>1574</v>
      </c>
      <c r="AL28" s="174">
        <v>1545.84</v>
      </c>
      <c r="AM28" s="118">
        <v>2.4588999999999999</v>
      </c>
      <c r="AN28" s="118">
        <v>2.4561999999999999</v>
      </c>
      <c r="AO28" s="174"/>
      <c r="AP28" s="118"/>
      <c r="AQ28" s="174">
        <v>1547.8</v>
      </c>
      <c r="AR28" s="118">
        <v>2.4891000000000001</v>
      </c>
      <c r="AS28" s="118">
        <v>2.4868000000000001</v>
      </c>
      <c r="AT28" s="174"/>
      <c r="AU28" s="118"/>
      <c r="AV28" s="61">
        <v>1.0056764320069</v>
      </c>
      <c r="AW28">
        <v>1</v>
      </c>
      <c r="AX28">
        <v>6.0100000000000001E-2</v>
      </c>
      <c r="AY28">
        <v>5.0639999999999998E-2</v>
      </c>
      <c r="AZ28">
        <v>0.28459000000000001</v>
      </c>
      <c r="BA28">
        <v>0.22459999999999999</v>
      </c>
      <c r="BB28" s="73">
        <v>1</v>
      </c>
      <c r="BC28">
        <v>1.0124299999999999</v>
      </c>
      <c r="BD28" s="74">
        <v>0.99870000000000003</v>
      </c>
      <c r="BE28" s="79" t="s">
        <v>517</v>
      </c>
      <c r="BF28" s="79" t="s">
        <v>517</v>
      </c>
      <c r="BG28" s="72" t="s">
        <v>280</v>
      </c>
      <c r="BH28" s="72"/>
      <c r="BI28"/>
      <c r="BJ28">
        <v>1</v>
      </c>
      <c r="BK28" s="61" t="str">
        <f t="shared" si="0"/>
        <v>00</v>
      </c>
      <c r="BL28" s="61" t="s">
        <v>518</v>
      </c>
      <c r="BM28" s="61">
        <v>0.99729999999999996</v>
      </c>
      <c r="BN28" s="146">
        <v>1.0099069853</v>
      </c>
    </row>
    <row r="29" spans="1:66" x14ac:dyDescent="0.25">
      <c r="A29" s="79" t="s">
        <v>155</v>
      </c>
      <c r="B29" t="s">
        <v>333</v>
      </c>
      <c r="C29" s="72" t="s">
        <v>522</v>
      </c>
      <c r="D29" s="72" t="s">
        <v>522</v>
      </c>
      <c r="E29" s="72" t="s">
        <v>522</v>
      </c>
      <c r="F29" s="72" t="s">
        <v>522</v>
      </c>
      <c r="G29" s="72" t="s">
        <v>523</v>
      </c>
      <c r="H29" s="72" t="s">
        <v>515</v>
      </c>
      <c r="I29" s="72" t="s">
        <v>524</v>
      </c>
      <c r="J29" s="72" t="s">
        <v>524</v>
      </c>
      <c r="K29" s="72" t="s">
        <v>79</v>
      </c>
      <c r="L29" s="61">
        <v>1.0083</v>
      </c>
      <c r="M29" s="72"/>
      <c r="N29" s="72"/>
      <c r="O29" s="72"/>
      <c r="P29" s="72"/>
      <c r="R29">
        <v>1</v>
      </c>
      <c r="S29">
        <v>1.5599999999999999E-2</v>
      </c>
      <c r="T29">
        <v>2.6200000000000001E-2</v>
      </c>
      <c r="U29">
        <v>127</v>
      </c>
      <c r="V29">
        <v>80</v>
      </c>
      <c r="W29" s="61">
        <v>8.4899999999999993E-3</v>
      </c>
      <c r="X29" s="61">
        <v>7.4200000000000004E-3</v>
      </c>
      <c r="Y29">
        <v>0.47120000000000001</v>
      </c>
      <c r="Z29">
        <v>7.0220000000000005E-2</v>
      </c>
      <c r="AA29">
        <v>0.10012</v>
      </c>
      <c r="AB29">
        <v>7.0220000000000005E-2</v>
      </c>
      <c r="AC29">
        <v>2.9500000000000001E-4</v>
      </c>
      <c r="AD29">
        <v>1984.31</v>
      </c>
      <c r="AE29">
        <v>2.8600000000000001E-4</v>
      </c>
      <c r="AF29">
        <v>2009.08</v>
      </c>
      <c r="AG29">
        <v>0.08</v>
      </c>
      <c r="AH29">
        <v>0.01</v>
      </c>
      <c r="AI29" s="61">
        <v>0</v>
      </c>
      <c r="AK29" s="61">
        <v>855</v>
      </c>
      <c r="AL29" s="174">
        <v>832.04</v>
      </c>
      <c r="AM29" s="118">
        <v>1.9446000000000001</v>
      </c>
      <c r="AN29" s="118">
        <v>1.9335</v>
      </c>
      <c r="AO29" s="174">
        <v>1772.44</v>
      </c>
      <c r="AP29" s="118">
        <v>1.8303</v>
      </c>
      <c r="AQ29" s="174">
        <v>834.02</v>
      </c>
      <c r="AR29" s="118">
        <v>1.9468000000000001</v>
      </c>
      <c r="AS29" s="118">
        <v>1.9394</v>
      </c>
      <c r="AT29" s="174">
        <v>1775.76</v>
      </c>
      <c r="AU29" s="118">
        <v>1.831</v>
      </c>
      <c r="AV29" s="61">
        <v>1.0056764320069</v>
      </c>
      <c r="AW29">
        <v>1</v>
      </c>
      <c r="AX29">
        <v>1.7389999999999999E-2</v>
      </c>
      <c r="AY29">
        <v>4.5760000000000002E-2</v>
      </c>
      <c r="AZ29">
        <v>0.14043</v>
      </c>
      <c r="BA29">
        <v>0.41949999999999998</v>
      </c>
      <c r="BB29" s="73">
        <v>1</v>
      </c>
      <c r="BC29">
        <v>0.99019999999999997</v>
      </c>
      <c r="BD29" s="74">
        <v>0.99909999999999999</v>
      </c>
      <c r="BE29" s="79" t="s">
        <v>517</v>
      </c>
      <c r="BF29" s="79" t="s">
        <v>517</v>
      </c>
      <c r="BG29" s="72" t="s">
        <v>171</v>
      </c>
      <c r="BH29" s="72"/>
      <c r="BI29"/>
      <c r="BJ29">
        <v>1</v>
      </c>
      <c r="BK29" s="61" t="str">
        <f t="shared" si="0"/>
        <v>00</v>
      </c>
      <c r="BL29" s="61" t="s">
        <v>518</v>
      </c>
      <c r="BM29" s="61">
        <v>0.99790000000000001</v>
      </c>
      <c r="BN29" s="146">
        <v>0.98525796129999998</v>
      </c>
    </row>
    <row r="30" spans="1:66" x14ac:dyDescent="0.25">
      <c r="A30" s="79" t="s">
        <v>334</v>
      </c>
      <c r="B30" t="s">
        <v>335</v>
      </c>
      <c r="C30" s="72" t="s">
        <v>526</v>
      </c>
      <c r="D30" s="72" t="s">
        <v>526</v>
      </c>
      <c r="E30" s="72" t="s">
        <v>526</v>
      </c>
      <c r="F30" s="72" t="s">
        <v>526</v>
      </c>
      <c r="G30" s="72" t="s">
        <v>544</v>
      </c>
      <c r="H30" s="72" t="s">
        <v>515</v>
      </c>
      <c r="I30" s="72" t="s">
        <v>528</v>
      </c>
      <c r="J30" s="72" t="s">
        <v>528</v>
      </c>
      <c r="K30" s="72" t="s">
        <v>79</v>
      </c>
      <c r="L30" s="61">
        <v>1.0083</v>
      </c>
      <c r="M30" s="72"/>
      <c r="N30" s="72"/>
      <c r="O30" s="72"/>
      <c r="P30" s="72"/>
      <c r="R30">
        <v>1</v>
      </c>
      <c r="S30">
        <v>0</v>
      </c>
      <c r="T30">
        <v>0</v>
      </c>
      <c r="U30">
        <v>49</v>
      </c>
      <c r="V30">
        <v>14</v>
      </c>
      <c r="W30" s="61">
        <v>0</v>
      </c>
      <c r="X30" s="61">
        <v>0</v>
      </c>
      <c r="Y30">
        <v>0.22509999999999999</v>
      </c>
      <c r="Z30">
        <v>1.9460000000000002E-2</v>
      </c>
      <c r="AA30">
        <v>0</v>
      </c>
      <c r="AB30">
        <v>1.9460000000000002E-2</v>
      </c>
      <c r="AD30">
        <v>0</v>
      </c>
      <c r="AF30">
        <v>0</v>
      </c>
      <c r="AG30">
        <v>0.39900000000000002</v>
      </c>
      <c r="AH30">
        <v>2.1999999999999999E-2</v>
      </c>
      <c r="AI30" s="61">
        <v>16</v>
      </c>
      <c r="AJ30" s="61">
        <v>6014.7</v>
      </c>
      <c r="AK30" s="61">
        <v>423</v>
      </c>
      <c r="AL30" s="174">
        <v>414.76</v>
      </c>
      <c r="AM30" s="118">
        <v>1.4443999999999999</v>
      </c>
      <c r="AN30" s="118">
        <v>1.4332</v>
      </c>
      <c r="AO30" s="174"/>
      <c r="AP30" s="118"/>
      <c r="AQ30" s="174">
        <v>415.49</v>
      </c>
      <c r="AR30" s="118">
        <v>1.4438</v>
      </c>
      <c r="AS30" s="118">
        <v>1.4337</v>
      </c>
      <c r="AT30" s="174"/>
      <c r="AU30" s="118"/>
      <c r="AV30" s="61">
        <v>1.0056764320069</v>
      </c>
      <c r="AW30">
        <v>1</v>
      </c>
      <c r="AX30">
        <v>1.4659999999999999E-2</v>
      </c>
      <c r="AY30">
        <v>5.0600000000000003E-3</v>
      </c>
      <c r="AZ30">
        <v>0.35349000000000003</v>
      </c>
      <c r="BA30">
        <v>0.20369999999999999</v>
      </c>
      <c r="BB30">
        <v>1</v>
      </c>
      <c r="BC30">
        <v>1.0003500000000001</v>
      </c>
      <c r="BD30" s="74">
        <v>0.99770000000000003</v>
      </c>
      <c r="BE30" s="79" t="s">
        <v>517</v>
      </c>
      <c r="BF30" s="79" t="s">
        <v>517</v>
      </c>
      <c r="BG30" s="72" t="s">
        <v>72</v>
      </c>
      <c r="BH30" s="72"/>
      <c r="BI30"/>
      <c r="BJ30">
        <v>1</v>
      </c>
      <c r="BK30" s="61" t="str">
        <f t="shared" si="0"/>
        <v>00</v>
      </c>
      <c r="BL30" s="61" t="s">
        <v>518</v>
      </c>
      <c r="BM30" s="61">
        <v>0.99850000000000005</v>
      </c>
      <c r="BN30" s="146">
        <v>1.0083407841000001</v>
      </c>
    </row>
    <row r="31" spans="1:66" x14ac:dyDescent="0.25">
      <c r="A31" s="79" t="s">
        <v>336</v>
      </c>
      <c r="B31" t="s">
        <v>337</v>
      </c>
      <c r="C31" s="72" t="s">
        <v>526</v>
      </c>
      <c r="D31" s="72" t="s">
        <v>526</v>
      </c>
      <c r="E31" s="72" t="s">
        <v>526</v>
      </c>
      <c r="F31" s="72" t="s">
        <v>526</v>
      </c>
      <c r="G31" s="72" t="s">
        <v>545</v>
      </c>
      <c r="H31" s="72" t="s">
        <v>515</v>
      </c>
      <c r="I31" s="72" t="s">
        <v>528</v>
      </c>
      <c r="J31" s="72" t="s">
        <v>528</v>
      </c>
      <c r="K31" s="72" t="s">
        <v>79</v>
      </c>
      <c r="L31" s="61">
        <v>1.0083</v>
      </c>
      <c r="M31" s="72"/>
      <c r="N31" s="72"/>
      <c r="O31" s="72"/>
      <c r="P31" s="72"/>
      <c r="R31">
        <v>1</v>
      </c>
      <c r="S31">
        <v>0</v>
      </c>
      <c r="T31">
        <v>0</v>
      </c>
      <c r="U31">
        <v>34</v>
      </c>
      <c r="V31">
        <v>31</v>
      </c>
      <c r="W31" s="61">
        <v>0</v>
      </c>
      <c r="X31" s="61">
        <v>0</v>
      </c>
      <c r="Y31">
        <v>0.28620000000000001</v>
      </c>
      <c r="Z31">
        <v>0.03</v>
      </c>
      <c r="AA31">
        <v>0</v>
      </c>
      <c r="AB31">
        <v>0.03</v>
      </c>
      <c r="AD31">
        <v>0</v>
      </c>
      <c r="AF31">
        <v>0</v>
      </c>
      <c r="AG31">
        <v>0.34</v>
      </c>
      <c r="AH31">
        <v>3.9E-2</v>
      </c>
      <c r="AI31" s="61">
        <v>16</v>
      </c>
      <c r="AJ31" s="61">
        <v>9732.16</v>
      </c>
      <c r="AK31" s="61">
        <v>957</v>
      </c>
      <c r="AL31" s="174">
        <v>946.89</v>
      </c>
      <c r="AM31" s="118">
        <v>1.9505999999999999</v>
      </c>
      <c r="AN31" s="118">
        <v>1.9482999999999999</v>
      </c>
      <c r="AO31" s="174"/>
      <c r="AP31" s="118"/>
      <c r="AQ31" s="174">
        <v>947.33</v>
      </c>
      <c r="AR31" s="118">
        <v>1.9514</v>
      </c>
      <c r="AS31" s="118">
        <v>1.9490000000000001</v>
      </c>
      <c r="AT31" s="174"/>
      <c r="AU31" s="118"/>
      <c r="AV31" s="61">
        <v>1.0056764320069</v>
      </c>
      <c r="AW31">
        <v>1</v>
      </c>
      <c r="AX31">
        <v>0.17021</v>
      </c>
      <c r="AY31">
        <v>0.33684999999999998</v>
      </c>
      <c r="AZ31">
        <v>0.31909999999999999</v>
      </c>
      <c r="BA31">
        <v>0.2616</v>
      </c>
      <c r="BB31">
        <v>1</v>
      </c>
      <c r="BC31">
        <v>1.0043599999999999</v>
      </c>
      <c r="BD31" s="74">
        <v>0.99850000000000005</v>
      </c>
      <c r="BE31" s="79" t="s">
        <v>517</v>
      </c>
      <c r="BF31" s="79" t="s">
        <v>517</v>
      </c>
      <c r="BG31" s="72" t="s">
        <v>280</v>
      </c>
      <c r="BH31" s="72"/>
      <c r="BI31"/>
      <c r="BJ31">
        <v>1</v>
      </c>
      <c r="BK31" s="61" t="str">
        <f t="shared" si="0"/>
        <v>00</v>
      </c>
      <c r="BL31" s="61" t="s">
        <v>518</v>
      </c>
      <c r="BM31" s="61">
        <v>0.99960000000000004</v>
      </c>
      <c r="BN31" s="146">
        <v>1.0105782144</v>
      </c>
    </row>
    <row r="32" spans="1:66" x14ac:dyDescent="0.25">
      <c r="A32" s="79" t="s">
        <v>338</v>
      </c>
      <c r="B32" t="s">
        <v>339</v>
      </c>
      <c r="C32" s="72" t="s">
        <v>526</v>
      </c>
      <c r="D32" s="72" t="s">
        <v>526</v>
      </c>
      <c r="E32" s="72" t="s">
        <v>526</v>
      </c>
      <c r="F32" s="72" t="s">
        <v>526</v>
      </c>
      <c r="G32" s="72" t="s">
        <v>546</v>
      </c>
      <c r="H32" s="72" t="s">
        <v>515</v>
      </c>
      <c r="I32" s="72" t="s">
        <v>528</v>
      </c>
      <c r="J32" s="72" t="s">
        <v>528</v>
      </c>
      <c r="K32" s="72" t="s">
        <v>79</v>
      </c>
      <c r="L32" s="61">
        <v>1.0083</v>
      </c>
      <c r="M32" s="72"/>
      <c r="N32" s="72"/>
      <c r="O32" s="72"/>
      <c r="P32" s="72"/>
      <c r="R32">
        <v>1</v>
      </c>
      <c r="S32">
        <v>0</v>
      </c>
      <c r="T32">
        <v>0</v>
      </c>
      <c r="U32">
        <v>25</v>
      </c>
      <c r="V32">
        <v>7</v>
      </c>
      <c r="W32" s="61">
        <v>0</v>
      </c>
      <c r="X32" s="61">
        <v>0</v>
      </c>
      <c r="Y32">
        <v>0.3836</v>
      </c>
      <c r="Z32">
        <v>0.03</v>
      </c>
      <c r="AA32">
        <v>0</v>
      </c>
      <c r="AB32">
        <v>0.03</v>
      </c>
      <c r="AD32">
        <v>0</v>
      </c>
      <c r="AF32">
        <v>0</v>
      </c>
      <c r="AG32">
        <v>0.54400000000000004</v>
      </c>
      <c r="AH32">
        <v>4.2000000000000003E-2</v>
      </c>
      <c r="AI32" s="61">
        <v>16</v>
      </c>
      <c r="AJ32" s="61">
        <v>9233.08</v>
      </c>
      <c r="AK32" s="61">
        <v>277</v>
      </c>
      <c r="AL32" s="174">
        <v>265.24</v>
      </c>
      <c r="AM32" s="118">
        <v>1.5556000000000001</v>
      </c>
      <c r="AN32" s="118">
        <v>1.5379</v>
      </c>
      <c r="AO32" s="174"/>
      <c r="AP32" s="118"/>
      <c r="AQ32" s="174">
        <v>266.3</v>
      </c>
      <c r="AR32" s="118">
        <v>1.5498000000000001</v>
      </c>
      <c r="AS32" s="118">
        <v>1.5353000000000001</v>
      </c>
      <c r="AT32" s="174"/>
      <c r="AU32" s="118"/>
      <c r="AV32" s="61">
        <v>1.0056764320069</v>
      </c>
      <c r="AW32">
        <v>1</v>
      </c>
      <c r="AX32">
        <v>1.942E-2</v>
      </c>
      <c r="AY32">
        <v>1.933E-2</v>
      </c>
      <c r="AZ32">
        <v>0.30542999999999998</v>
      </c>
      <c r="BA32">
        <v>0.31640000000000001</v>
      </c>
      <c r="BB32">
        <v>1</v>
      </c>
      <c r="BC32">
        <v>0.99265000000000003</v>
      </c>
      <c r="BD32" s="74">
        <v>1</v>
      </c>
      <c r="BE32" s="79" t="s">
        <v>517</v>
      </c>
      <c r="BF32" s="79" t="s">
        <v>517</v>
      </c>
      <c r="BG32" s="72" t="s">
        <v>280</v>
      </c>
      <c r="BH32" s="72"/>
      <c r="BI32"/>
      <c r="BJ32">
        <v>1.218484999999994</v>
      </c>
      <c r="BK32" s="61" t="str">
        <f t="shared" si="0"/>
        <v>00</v>
      </c>
      <c r="BL32" s="61" t="s">
        <v>518</v>
      </c>
      <c r="BM32" s="61">
        <v>0.99939999999999996</v>
      </c>
      <c r="BN32" s="146">
        <v>1.0134122928</v>
      </c>
    </row>
    <row r="33" spans="1:66" x14ac:dyDescent="0.25">
      <c r="A33" s="79" t="s">
        <v>340</v>
      </c>
      <c r="B33" t="s">
        <v>341</v>
      </c>
      <c r="C33" s="72" t="s">
        <v>526</v>
      </c>
      <c r="D33" s="72" t="s">
        <v>526</v>
      </c>
      <c r="E33" s="72" t="s">
        <v>526</v>
      </c>
      <c r="F33" s="72" t="s">
        <v>526</v>
      </c>
      <c r="G33" s="72" t="s">
        <v>547</v>
      </c>
      <c r="H33" s="72" t="s">
        <v>515</v>
      </c>
      <c r="I33" s="72" t="s">
        <v>528</v>
      </c>
      <c r="J33" s="72" t="s">
        <v>528</v>
      </c>
      <c r="K33" s="72" t="s">
        <v>79</v>
      </c>
      <c r="L33" s="61">
        <v>1.0083</v>
      </c>
      <c r="M33" s="72"/>
      <c r="N33" s="72"/>
      <c r="O33" s="72"/>
      <c r="P33" s="72"/>
      <c r="R33">
        <v>1</v>
      </c>
      <c r="S33">
        <v>0</v>
      </c>
      <c r="T33">
        <v>0</v>
      </c>
      <c r="U33">
        <v>54</v>
      </c>
      <c r="V33">
        <v>13</v>
      </c>
      <c r="W33" s="61">
        <v>0</v>
      </c>
      <c r="X33" s="61">
        <v>0</v>
      </c>
      <c r="Y33">
        <v>0.192</v>
      </c>
      <c r="Z33">
        <v>1.308E-2</v>
      </c>
      <c r="AA33">
        <v>0</v>
      </c>
      <c r="AB33">
        <v>1.308E-2</v>
      </c>
      <c r="AD33">
        <v>0</v>
      </c>
      <c r="AF33">
        <v>0</v>
      </c>
      <c r="AG33">
        <v>0.45400000000000001</v>
      </c>
      <c r="AH33">
        <v>5.8999999999999997E-2</v>
      </c>
      <c r="AI33" s="61">
        <v>16</v>
      </c>
      <c r="AJ33" s="61">
        <v>14250.46</v>
      </c>
      <c r="AK33" s="61">
        <v>439</v>
      </c>
      <c r="AL33" s="174">
        <v>432.22</v>
      </c>
      <c r="AM33" s="118">
        <v>2.1307999999999998</v>
      </c>
      <c r="AN33" s="118">
        <v>2.1299000000000001</v>
      </c>
      <c r="AO33" s="174"/>
      <c r="AP33" s="118"/>
      <c r="AQ33" s="174">
        <v>432.75</v>
      </c>
      <c r="AR33" s="118">
        <v>2.1692999999999998</v>
      </c>
      <c r="AS33" s="118">
        <v>2.1688000000000001</v>
      </c>
      <c r="AT33" s="174"/>
      <c r="AU33" s="118"/>
      <c r="AV33" s="61">
        <v>1.0056764320069</v>
      </c>
      <c r="AW33">
        <v>1</v>
      </c>
      <c r="AX33">
        <v>0.21687999999999999</v>
      </c>
      <c r="AY33">
        <v>0.52302999999999999</v>
      </c>
      <c r="AZ33">
        <v>0.21779000000000001</v>
      </c>
      <c r="BA33">
        <v>0.18129999999999999</v>
      </c>
      <c r="BB33">
        <v>1</v>
      </c>
      <c r="BC33">
        <v>1.00383</v>
      </c>
      <c r="BD33" s="74">
        <v>1</v>
      </c>
      <c r="BE33" s="79" t="s">
        <v>517</v>
      </c>
      <c r="BF33" s="79" t="s">
        <v>517</v>
      </c>
      <c r="BG33" s="72" t="s">
        <v>72</v>
      </c>
      <c r="BH33" s="72"/>
      <c r="BI33"/>
      <c r="BJ33">
        <v>1.1733329999999995</v>
      </c>
      <c r="BK33" s="61" t="str">
        <f t="shared" si="0"/>
        <v>00</v>
      </c>
      <c r="BL33" s="61" t="s">
        <v>518</v>
      </c>
      <c r="BM33" s="61">
        <v>1</v>
      </c>
      <c r="BN33" s="146">
        <v>1.0102798903000001</v>
      </c>
    </row>
    <row r="34" spans="1:66" x14ac:dyDescent="0.25">
      <c r="A34" s="79" t="s">
        <v>156</v>
      </c>
      <c r="B34" t="s">
        <v>342</v>
      </c>
      <c r="C34" s="72" t="s">
        <v>522</v>
      </c>
      <c r="D34" s="72" t="s">
        <v>522</v>
      </c>
      <c r="E34" s="72" t="s">
        <v>522</v>
      </c>
      <c r="F34" s="72" t="s">
        <v>526</v>
      </c>
      <c r="G34" s="72" t="s">
        <v>541</v>
      </c>
      <c r="H34" s="72" t="s">
        <v>515</v>
      </c>
      <c r="I34" s="72" t="s">
        <v>524</v>
      </c>
      <c r="J34" s="72" t="s">
        <v>528</v>
      </c>
      <c r="K34" s="72" t="s">
        <v>281</v>
      </c>
      <c r="L34" s="61">
        <v>1.0083</v>
      </c>
      <c r="M34" s="72"/>
      <c r="N34" s="72" t="s">
        <v>141</v>
      </c>
      <c r="O34" s="72" t="s">
        <v>141</v>
      </c>
      <c r="P34" s="72"/>
      <c r="R34">
        <v>1</v>
      </c>
      <c r="S34">
        <v>9.9400000000000002E-2</v>
      </c>
      <c r="T34">
        <v>0.15690000000000001</v>
      </c>
      <c r="U34">
        <v>347</v>
      </c>
      <c r="V34">
        <v>226</v>
      </c>
      <c r="W34" s="536">
        <v>5.6120999999999997E-2</v>
      </c>
      <c r="X34" s="536">
        <v>4.9350999999999999E-2</v>
      </c>
      <c r="Y34">
        <v>0.40720000000000001</v>
      </c>
      <c r="Z34">
        <v>5.7020000000000001E-2</v>
      </c>
      <c r="AA34">
        <v>8.5949999999999999E-2</v>
      </c>
      <c r="AB34">
        <v>5.7020000000000001E-2</v>
      </c>
      <c r="AC34">
        <v>4.84E-4</v>
      </c>
      <c r="AD34">
        <v>934.66</v>
      </c>
      <c r="AE34">
        <v>4.66E-4</v>
      </c>
      <c r="AF34">
        <v>944.2</v>
      </c>
      <c r="AG34">
        <v>7.9000000000000001E-2</v>
      </c>
      <c r="AH34">
        <v>7.0000000000000001E-3</v>
      </c>
      <c r="AI34" s="61">
        <v>7</v>
      </c>
      <c r="AK34" s="61">
        <v>2794</v>
      </c>
      <c r="AL34" s="174">
        <v>2721.84</v>
      </c>
      <c r="AM34" s="118">
        <v>2.2212000000000001</v>
      </c>
      <c r="AN34" s="118">
        <v>2.2094</v>
      </c>
      <c r="AO34" s="174">
        <v>3869.62</v>
      </c>
      <c r="AP34" s="118">
        <v>2.0105</v>
      </c>
      <c r="AQ34" s="174">
        <v>2725.42</v>
      </c>
      <c r="AR34" s="118">
        <v>2.2198000000000002</v>
      </c>
      <c r="AS34" s="118">
        <v>2.2054</v>
      </c>
      <c r="AT34" s="174">
        <v>3876.31</v>
      </c>
      <c r="AU34" s="118">
        <v>2.0177</v>
      </c>
      <c r="AV34" s="61">
        <v>1.0056764320069</v>
      </c>
      <c r="AW34">
        <v>1</v>
      </c>
      <c r="AX34">
        <v>3.074E-2</v>
      </c>
      <c r="AY34">
        <v>4.0259999999999997E-2</v>
      </c>
      <c r="AZ34">
        <v>0.16703999999999999</v>
      </c>
      <c r="BA34">
        <v>0.35649999999999998</v>
      </c>
      <c r="BB34">
        <v>1</v>
      </c>
      <c r="BC34">
        <v>0.99961</v>
      </c>
      <c r="BD34" s="74">
        <v>0.99890000000000001</v>
      </c>
      <c r="BE34" s="79" t="s">
        <v>517</v>
      </c>
      <c r="BF34" s="79" t="s">
        <v>517</v>
      </c>
      <c r="BG34" s="72" t="s">
        <v>171</v>
      </c>
      <c r="BH34" s="72"/>
      <c r="BI34"/>
      <c r="BJ34">
        <v>1</v>
      </c>
      <c r="BK34" s="61" t="str">
        <f t="shared" si="0"/>
        <v>00</v>
      </c>
      <c r="BL34" s="61" t="s">
        <v>518</v>
      </c>
      <c r="BM34" s="61">
        <v>0.999</v>
      </c>
      <c r="BN34" s="146">
        <v>0.99446871609999998</v>
      </c>
    </row>
    <row r="35" spans="1:66" x14ac:dyDescent="0.25">
      <c r="A35" s="79" t="s">
        <v>343</v>
      </c>
      <c r="B35" t="s">
        <v>344</v>
      </c>
      <c r="C35" s="72" t="s">
        <v>519</v>
      </c>
      <c r="D35" s="72" t="s">
        <v>519</v>
      </c>
      <c r="E35" s="72" t="s">
        <v>519</v>
      </c>
      <c r="F35" s="72" t="s">
        <v>519</v>
      </c>
      <c r="G35" s="72" t="s">
        <v>520</v>
      </c>
      <c r="H35" s="72" t="s">
        <v>515</v>
      </c>
      <c r="I35" s="72" t="s">
        <v>516</v>
      </c>
      <c r="J35" s="72" t="s">
        <v>516</v>
      </c>
      <c r="K35" s="72" t="s">
        <v>79</v>
      </c>
      <c r="L35" s="61">
        <v>1.0083</v>
      </c>
      <c r="M35" s="72"/>
      <c r="N35" s="72"/>
      <c r="O35" s="72"/>
      <c r="P35" s="72"/>
      <c r="R35">
        <v>1</v>
      </c>
      <c r="S35">
        <v>0</v>
      </c>
      <c r="T35">
        <v>0</v>
      </c>
      <c r="U35">
        <v>103</v>
      </c>
      <c r="V35">
        <v>34</v>
      </c>
      <c r="W35" s="61">
        <v>0</v>
      </c>
      <c r="X35" s="61">
        <v>0</v>
      </c>
      <c r="Y35">
        <v>0.33450000000000002</v>
      </c>
      <c r="Z35">
        <v>4.2029999999999998E-2</v>
      </c>
      <c r="AA35">
        <v>7.0080000000000003E-2</v>
      </c>
      <c r="AB35">
        <v>4.2029999999999998E-2</v>
      </c>
      <c r="AC35">
        <v>1.1900000000000001E-4</v>
      </c>
      <c r="AD35">
        <v>1368.84</v>
      </c>
      <c r="AE35">
        <v>1.0900000000000001E-4</v>
      </c>
      <c r="AF35">
        <v>1369.46</v>
      </c>
      <c r="AG35">
        <v>0.2</v>
      </c>
      <c r="AH35">
        <v>1.4E-2</v>
      </c>
      <c r="AI35" s="61">
        <v>0</v>
      </c>
      <c r="AK35" s="61">
        <v>485</v>
      </c>
      <c r="AL35" s="174">
        <v>468.35</v>
      </c>
      <c r="AM35" s="118">
        <v>2.5695999999999999</v>
      </c>
      <c r="AN35" s="118">
        <v>2.5948000000000002</v>
      </c>
      <c r="AO35" s="174"/>
      <c r="AP35" s="118"/>
      <c r="AQ35" s="174">
        <v>467.94</v>
      </c>
      <c r="AR35" s="118">
        <v>2.6501999999999999</v>
      </c>
      <c r="AS35" s="118">
        <v>2.6606000000000001</v>
      </c>
      <c r="AT35" s="174"/>
      <c r="AU35" s="118"/>
      <c r="AV35" s="61">
        <v>1.0056764320069</v>
      </c>
      <c r="AW35">
        <v>1</v>
      </c>
      <c r="AX35">
        <v>1.1900000000000001E-2</v>
      </c>
      <c r="AY35">
        <v>8.6899999999999998E-3</v>
      </c>
      <c r="AZ35">
        <v>9.5310000000000006E-2</v>
      </c>
      <c r="BA35">
        <v>0.32029999999999997</v>
      </c>
      <c r="BB35">
        <v>1</v>
      </c>
      <c r="BC35">
        <v>0.99885999999999997</v>
      </c>
      <c r="BD35" s="74">
        <v>1</v>
      </c>
      <c r="BE35" s="79" t="s">
        <v>517</v>
      </c>
      <c r="BF35" s="79" t="s">
        <v>517</v>
      </c>
      <c r="BG35" s="72" t="s">
        <v>280</v>
      </c>
      <c r="BH35" s="72"/>
      <c r="BI35"/>
      <c r="BJ35">
        <v>1</v>
      </c>
      <c r="BK35" s="61" t="str">
        <f t="shared" si="0"/>
        <v>00</v>
      </c>
      <c r="BL35" s="61" t="s">
        <v>518</v>
      </c>
      <c r="BM35" s="61">
        <v>1</v>
      </c>
      <c r="BN35" s="146">
        <v>1.0106527954</v>
      </c>
    </row>
    <row r="36" spans="1:66" x14ac:dyDescent="0.25">
      <c r="A36" s="79" t="s">
        <v>157</v>
      </c>
      <c r="B36" t="s">
        <v>345</v>
      </c>
      <c r="C36" s="72" t="s">
        <v>522</v>
      </c>
      <c r="D36" s="72" t="s">
        <v>522</v>
      </c>
      <c r="E36" s="72" t="s">
        <v>522</v>
      </c>
      <c r="F36" s="72" t="s">
        <v>522</v>
      </c>
      <c r="G36" s="72" t="s">
        <v>523</v>
      </c>
      <c r="H36" s="72" t="s">
        <v>515</v>
      </c>
      <c r="I36" s="72" t="s">
        <v>524</v>
      </c>
      <c r="J36" s="72" t="s">
        <v>524</v>
      </c>
      <c r="K36" s="72" t="s">
        <v>79</v>
      </c>
      <c r="L36" s="61">
        <v>1.0083</v>
      </c>
      <c r="M36" s="72"/>
      <c r="N36" s="72"/>
      <c r="O36" s="72"/>
      <c r="P36" s="72"/>
      <c r="R36">
        <v>1</v>
      </c>
      <c r="S36">
        <v>0.2253</v>
      </c>
      <c r="T36">
        <v>0.3301</v>
      </c>
      <c r="U36">
        <v>118</v>
      </c>
      <c r="V36">
        <v>71</v>
      </c>
      <c r="W36" s="61">
        <v>0.11579</v>
      </c>
      <c r="X36" s="61">
        <v>9.7629999999999995E-2</v>
      </c>
      <c r="Y36">
        <v>0.3634</v>
      </c>
      <c r="Z36">
        <v>4.7989999999999998E-2</v>
      </c>
      <c r="AA36">
        <v>7.6359999999999997E-2</v>
      </c>
      <c r="AB36">
        <v>4.7989999999999998E-2</v>
      </c>
      <c r="AC36">
        <v>2.9799999999999998E-4</v>
      </c>
      <c r="AD36">
        <v>1234.3599999999999</v>
      </c>
      <c r="AE36">
        <v>2.6600000000000001E-4</v>
      </c>
      <c r="AF36">
        <v>1214.55</v>
      </c>
      <c r="AG36">
        <v>0.157</v>
      </c>
      <c r="AH36">
        <v>1.2E-2</v>
      </c>
      <c r="AI36" s="61">
        <v>0</v>
      </c>
      <c r="AK36" s="61">
        <v>1363</v>
      </c>
      <c r="AL36" s="174">
        <v>1311.16</v>
      </c>
      <c r="AM36" s="118">
        <v>1.7356</v>
      </c>
      <c r="AN36" s="118">
        <v>1.7185999999999999</v>
      </c>
      <c r="AO36" s="174">
        <v>2006.27</v>
      </c>
      <c r="AP36" s="118">
        <v>1.702</v>
      </c>
      <c r="AQ36" s="174">
        <v>1315.4</v>
      </c>
      <c r="AR36" s="118">
        <v>1.7274</v>
      </c>
      <c r="AS36" s="118">
        <v>1.7141</v>
      </c>
      <c r="AT36" s="174">
        <v>2012.25</v>
      </c>
      <c r="AU36" s="118">
        <v>1.7051000000000001</v>
      </c>
      <c r="AV36" s="61">
        <v>1.0056764320069</v>
      </c>
      <c r="AW36">
        <v>1</v>
      </c>
      <c r="AX36">
        <v>7.3000000000000001E-3</v>
      </c>
      <c r="AY36">
        <v>7.43E-3</v>
      </c>
      <c r="AZ36">
        <v>0.17584</v>
      </c>
      <c r="BA36">
        <v>0.3246</v>
      </c>
      <c r="BB36">
        <v>1</v>
      </c>
      <c r="BC36">
        <v>1.00942</v>
      </c>
      <c r="BD36" s="74">
        <v>0.99919999999999998</v>
      </c>
      <c r="BE36" s="79" t="s">
        <v>517</v>
      </c>
      <c r="BF36" s="79" t="s">
        <v>517</v>
      </c>
      <c r="BG36" s="72" t="s">
        <v>280</v>
      </c>
      <c r="BH36" s="72"/>
      <c r="BI36"/>
      <c r="BJ36">
        <v>1</v>
      </c>
      <c r="BK36" s="61" t="str">
        <f t="shared" si="0"/>
        <v>00</v>
      </c>
      <c r="BL36" s="61" t="s">
        <v>518</v>
      </c>
      <c r="BM36" s="61">
        <v>0.99929999999999997</v>
      </c>
      <c r="BN36" s="146">
        <v>1.0062898063000001</v>
      </c>
    </row>
    <row r="37" spans="1:66" x14ac:dyDescent="0.25">
      <c r="A37" s="79" t="s">
        <v>158</v>
      </c>
      <c r="B37" t="s">
        <v>346</v>
      </c>
      <c r="C37" s="72" t="s">
        <v>522</v>
      </c>
      <c r="D37" s="72" t="s">
        <v>522</v>
      </c>
      <c r="E37" s="72" t="s">
        <v>522</v>
      </c>
      <c r="F37" s="72" t="s">
        <v>522</v>
      </c>
      <c r="G37" s="72" t="s">
        <v>533</v>
      </c>
      <c r="H37" s="72" t="s">
        <v>515</v>
      </c>
      <c r="I37" s="72" t="s">
        <v>524</v>
      </c>
      <c r="J37" s="72" t="s">
        <v>524</v>
      </c>
      <c r="K37" s="72" t="s">
        <v>79</v>
      </c>
      <c r="L37" s="61">
        <v>1.0083</v>
      </c>
      <c r="M37" s="72"/>
      <c r="N37" s="72"/>
      <c r="O37" s="72"/>
      <c r="P37" s="72"/>
      <c r="R37">
        <v>1</v>
      </c>
      <c r="S37">
        <v>0</v>
      </c>
      <c r="T37">
        <v>0</v>
      </c>
      <c r="U37">
        <v>13</v>
      </c>
      <c r="V37">
        <v>1</v>
      </c>
      <c r="W37" s="61">
        <v>0</v>
      </c>
      <c r="X37" s="61">
        <v>0</v>
      </c>
      <c r="Y37">
        <v>0.1283</v>
      </c>
      <c r="Z37">
        <v>0</v>
      </c>
      <c r="AA37">
        <v>0</v>
      </c>
      <c r="AB37">
        <v>0</v>
      </c>
      <c r="AD37">
        <v>0</v>
      </c>
      <c r="AE37">
        <v>3.4E-5</v>
      </c>
      <c r="AF37">
        <v>11147.92</v>
      </c>
      <c r="AG37">
        <v>0.16900000000000001</v>
      </c>
      <c r="AH37">
        <v>1.4E-2</v>
      </c>
      <c r="AI37" s="61">
        <v>0</v>
      </c>
      <c r="AK37" s="61">
        <v>25</v>
      </c>
      <c r="AL37" s="174">
        <v>24.88</v>
      </c>
      <c r="AM37" s="118">
        <v>1.0865</v>
      </c>
      <c r="AN37" s="118">
        <v>1.0875999999999999</v>
      </c>
      <c r="AO37" s="174"/>
      <c r="AP37" s="118"/>
      <c r="AQ37" s="174">
        <v>24.91</v>
      </c>
      <c r="AR37" s="118">
        <v>1.0939000000000001</v>
      </c>
      <c r="AS37" s="118">
        <v>1.0947</v>
      </c>
      <c r="AT37" s="174"/>
      <c r="AU37" s="118"/>
      <c r="AV37" s="61">
        <v>1.0056764320069</v>
      </c>
      <c r="AW37">
        <v>1</v>
      </c>
      <c r="AX37">
        <v>0</v>
      </c>
      <c r="AY37">
        <v>0</v>
      </c>
      <c r="AZ37">
        <v>0.38696999999999998</v>
      </c>
      <c r="BA37">
        <v>0.1283</v>
      </c>
      <c r="BB37">
        <v>1</v>
      </c>
      <c r="BC37">
        <v>1</v>
      </c>
      <c r="BD37" s="74">
        <v>1</v>
      </c>
      <c r="BE37" s="79" t="s">
        <v>517</v>
      </c>
      <c r="BF37" s="79" t="s">
        <v>548</v>
      </c>
      <c r="BG37" s="72" t="s">
        <v>280</v>
      </c>
      <c r="BH37" s="72"/>
      <c r="BI37"/>
      <c r="BJ37">
        <v>1</v>
      </c>
      <c r="BK37" s="61" t="str">
        <f t="shared" si="0"/>
        <v>01</v>
      </c>
      <c r="BL37" s="61" t="s">
        <v>518</v>
      </c>
      <c r="BM37" s="61">
        <v>1</v>
      </c>
      <c r="BN37" s="147" t="s">
        <v>377</v>
      </c>
    </row>
    <row r="38" spans="1:66" x14ac:dyDescent="0.25">
      <c r="A38" s="79" t="s">
        <v>159</v>
      </c>
      <c r="B38" t="s">
        <v>347</v>
      </c>
      <c r="C38" s="72" t="s">
        <v>522</v>
      </c>
      <c r="D38" s="72" t="s">
        <v>522</v>
      </c>
      <c r="E38" s="72" t="s">
        <v>522</v>
      </c>
      <c r="F38" s="72" t="s">
        <v>522</v>
      </c>
      <c r="G38" s="72" t="s">
        <v>549</v>
      </c>
      <c r="H38" s="72" t="s">
        <v>515</v>
      </c>
      <c r="I38" s="72" t="s">
        <v>524</v>
      </c>
      <c r="J38" s="72" t="s">
        <v>524</v>
      </c>
      <c r="K38" s="72" t="s">
        <v>79</v>
      </c>
      <c r="L38" s="61">
        <v>1.0083</v>
      </c>
      <c r="M38" s="72"/>
      <c r="N38" s="72"/>
      <c r="O38" s="72"/>
      <c r="P38" s="72"/>
      <c r="R38">
        <v>1</v>
      </c>
      <c r="S38">
        <v>0.29709999999999998</v>
      </c>
      <c r="T38">
        <v>0.48570000000000002</v>
      </c>
      <c r="U38">
        <v>274</v>
      </c>
      <c r="V38">
        <v>165</v>
      </c>
      <c r="W38" s="61">
        <v>0.14999000000000001</v>
      </c>
      <c r="X38" s="61">
        <v>0.1469</v>
      </c>
      <c r="Y38">
        <v>0.1537</v>
      </c>
      <c r="Z38">
        <v>6.8500000000000002E-3</v>
      </c>
      <c r="AA38">
        <v>3.1609999999999999E-2</v>
      </c>
      <c r="AB38">
        <v>6.8500000000000002E-3</v>
      </c>
      <c r="AC38">
        <v>1.9599999999999999E-4</v>
      </c>
      <c r="AD38">
        <v>420.09</v>
      </c>
      <c r="AE38">
        <v>1.54E-4</v>
      </c>
      <c r="AF38">
        <v>355.94</v>
      </c>
      <c r="AG38">
        <v>6.7000000000000004E-2</v>
      </c>
      <c r="AH38">
        <v>8.9999999999999993E-3</v>
      </c>
      <c r="AI38" s="61">
        <v>0</v>
      </c>
      <c r="AK38" s="61">
        <v>2532</v>
      </c>
      <c r="AL38" s="174">
        <v>2462.0700000000002</v>
      </c>
      <c r="AM38" s="118">
        <v>2.2768000000000002</v>
      </c>
      <c r="AN38" s="118">
        <v>2.2723</v>
      </c>
      <c r="AO38" s="174">
        <v>3615.86</v>
      </c>
      <c r="AP38" s="118">
        <v>1.9921</v>
      </c>
      <c r="AQ38" s="174">
        <v>2465.81</v>
      </c>
      <c r="AR38" s="118">
        <v>2.2839999999999998</v>
      </c>
      <c r="AS38" s="118">
        <v>2.2766000000000002</v>
      </c>
      <c r="AT38" s="174">
        <v>3621.25</v>
      </c>
      <c r="AU38" s="118">
        <v>1.9908999999999999</v>
      </c>
      <c r="AV38" s="61">
        <v>1.0056764320069</v>
      </c>
      <c r="AW38">
        <v>1</v>
      </c>
      <c r="AX38">
        <v>1.269E-2</v>
      </c>
      <c r="AY38">
        <v>3.5889999999999998E-2</v>
      </c>
      <c r="AZ38">
        <v>0.16477</v>
      </c>
      <c r="BA38">
        <v>0.14149999999999999</v>
      </c>
      <c r="BB38">
        <v>1</v>
      </c>
      <c r="BC38">
        <v>1.00491</v>
      </c>
      <c r="BD38" s="74">
        <v>0.99829999999999997</v>
      </c>
      <c r="BE38" s="79" t="s">
        <v>517</v>
      </c>
      <c r="BF38" s="79" t="s">
        <v>517</v>
      </c>
      <c r="BG38" s="72" t="s">
        <v>171</v>
      </c>
      <c r="BH38" s="72"/>
      <c r="BI38"/>
      <c r="BJ38">
        <v>1</v>
      </c>
      <c r="BK38" s="61" t="str">
        <f t="shared" si="0"/>
        <v>00</v>
      </c>
      <c r="BL38" s="61" t="s">
        <v>518</v>
      </c>
      <c r="BM38" s="61">
        <v>0.99739999999999995</v>
      </c>
      <c r="BN38" s="146">
        <v>1.0005843590000001</v>
      </c>
    </row>
    <row r="39" spans="1:66" x14ac:dyDescent="0.25">
      <c r="A39" s="79" t="s">
        <v>348</v>
      </c>
      <c r="B39" t="s">
        <v>349</v>
      </c>
      <c r="C39" s="72" t="s">
        <v>522</v>
      </c>
      <c r="D39" s="72" t="s">
        <v>522</v>
      </c>
      <c r="E39" s="72" t="s">
        <v>522</v>
      </c>
      <c r="F39" s="72" t="s">
        <v>522</v>
      </c>
      <c r="G39" s="72" t="s">
        <v>541</v>
      </c>
      <c r="H39" s="72" t="s">
        <v>515</v>
      </c>
      <c r="I39" s="72" t="s">
        <v>524</v>
      </c>
      <c r="J39" s="72" t="s">
        <v>524</v>
      </c>
      <c r="K39" s="72" t="s">
        <v>79</v>
      </c>
      <c r="L39" s="61">
        <v>1.0083</v>
      </c>
      <c r="M39" s="72"/>
      <c r="N39" s="72"/>
      <c r="O39" s="72"/>
      <c r="P39" s="72"/>
      <c r="R39">
        <v>1</v>
      </c>
      <c r="S39">
        <v>0</v>
      </c>
      <c r="T39">
        <v>0</v>
      </c>
      <c r="U39">
        <v>201</v>
      </c>
      <c r="V39">
        <v>106</v>
      </c>
      <c r="W39" s="61">
        <v>0</v>
      </c>
      <c r="X39" s="61">
        <v>0</v>
      </c>
      <c r="Y39">
        <v>0.1898</v>
      </c>
      <c r="Z39">
        <v>1.272E-2</v>
      </c>
      <c r="AA39">
        <v>3.918E-2</v>
      </c>
      <c r="AB39">
        <v>1.272E-2</v>
      </c>
      <c r="AC39">
        <v>1.9000000000000001E-4</v>
      </c>
      <c r="AD39">
        <v>497.42</v>
      </c>
      <c r="AE39">
        <v>1.6699999999999999E-4</v>
      </c>
      <c r="AF39">
        <v>463.3</v>
      </c>
      <c r="AG39">
        <v>0.186</v>
      </c>
      <c r="AH39">
        <v>1.2E-2</v>
      </c>
      <c r="AI39" s="61">
        <v>0</v>
      </c>
      <c r="AK39" s="61">
        <v>2201</v>
      </c>
      <c r="AL39" s="174">
        <v>2142.89</v>
      </c>
      <c r="AM39" s="118">
        <v>1.9786999999999999</v>
      </c>
      <c r="AN39" s="118">
        <v>1.9681</v>
      </c>
      <c r="AO39" s="174"/>
      <c r="AP39" s="118"/>
      <c r="AQ39" s="174">
        <v>2147.38</v>
      </c>
      <c r="AR39" s="118">
        <v>1.9798</v>
      </c>
      <c r="AS39" s="118">
        <v>1.9691000000000001</v>
      </c>
      <c r="AT39" s="174"/>
      <c r="AU39" s="118"/>
      <c r="AV39" s="61">
        <v>1.0056764320069</v>
      </c>
      <c r="AW39">
        <v>1</v>
      </c>
      <c r="AX39">
        <v>4.0419999999999998E-2</v>
      </c>
      <c r="AY39">
        <v>2.5600000000000001E-2</v>
      </c>
      <c r="AZ39">
        <v>0.22902</v>
      </c>
      <c r="BA39">
        <v>0.1701</v>
      </c>
      <c r="BB39">
        <v>1</v>
      </c>
      <c r="BC39">
        <v>0.99636999999999998</v>
      </c>
      <c r="BD39" s="74">
        <v>0.99839999999999995</v>
      </c>
      <c r="BE39" s="79" t="s">
        <v>517</v>
      </c>
      <c r="BF39" s="79" t="s">
        <v>517</v>
      </c>
      <c r="BG39" s="72" t="s">
        <v>280</v>
      </c>
      <c r="BH39" s="72"/>
      <c r="BI39"/>
      <c r="BJ39">
        <v>1</v>
      </c>
      <c r="BK39" s="61" t="str">
        <f t="shared" si="0"/>
        <v>00</v>
      </c>
      <c r="BL39" s="61" t="s">
        <v>518</v>
      </c>
      <c r="BM39" s="61">
        <v>0.99609999999999999</v>
      </c>
      <c r="BN39" s="146">
        <v>1.0021505602</v>
      </c>
    </row>
    <row r="40" spans="1:66" x14ac:dyDescent="0.25">
      <c r="A40" s="79" t="s">
        <v>350</v>
      </c>
      <c r="B40" t="s">
        <v>351</v>
      </c>
      <c r="C40" s="72" t="s">
        <v>522</v>
      </c>
      <c r="D40" s="72" t="s">
        <v>522</v>
      </c>
      <c r="E40" s="72" t="s">
        <v>522</v>
      </c>
      <c r="F40" s="72" t="s">
        <v>522</v>
      </c>
      <c r="G40" s="72" t="s">
        <v>549</v>
      </c>
      <c r="H40" s="72" t="s">
        <v>515</v>
      </c>
      <c r="I40" s="72" t="s">
        <v>524</v>
      </c>
      <c r="J40" s="72" t="s">
        <v>524</v>
      </c>
      <c r="K40" s="72" t="s">
        <v>79</v>
      </c>
      <c r="L40" s="61">
        <v>1.0083</v>
      </c>
      <c r="M40" s="72"/>
      <c r="N40" s="72"/>
      <c r="O40" s="72"/>
      <c r="P40" s="72"/>
      <c r="R40">
        <v>1</v>
      </c>
      <c r="S40">
        <v>0</v>
      </c>
      <c r="T40">
        <v>0</v>
      </c>
      <c r="U40">
        <v>162</v>
      </c>
      <c r="V40">
        <v>95</v>
      </c>
      <c r="W40" s="61">
        <v>0</v>
      </c>
      <c r="X40" s="61">
        <v>0</v>
      </c>
      <c r="Y40">
        <v>0.20349999999999999</v>
      </c>
      <c r="Z40">
        <v>1.5010000000000001E-2</v>
      </c>
      <c r="AA40">
        <v>4.2070000000000003E-2</v>
      </c>
      <c r="AB40">
        <v>1.5010000000000001E-2</v>
      </c>
      <c r="AC40">
        <v>2.1900000000000001E-4</v>
      </c>
      <c r="AD40">
        <v>690.92</v>
      </c>
      <c r="AE40">
        <v>1.9699999999999999E-4</v>
      </c>
      <c r="AF40">
        <v>663.39</v>
      </c>
      <c r="AG40">
        <v>0.18</v>
      </c>
      <c r="AH40">
        <v>1.7999999999999999E-2</v>
      </c>
      <c r="AI40" s="61">
        <v>0</v>
      </c>
      <c r="AK40" s="61">
        <v>1773</v>
      </c>
      <c r="AL40" s="174">
        <v>1735.18</v>
      </c>
      <c r="AM40" s="118">
        <v>1.9267000000000001</v>
      </c>
      <c r="AN40" s="118">
        <v>1.9152</v>
      </c>
      <c r="AO40" s="174"/>
      <c r="AP40" s="118"/>
      <c r="AQ40" s="174">
        <v>1739.28</v>
      </c>
      <c r="AR40" s="118">
        <v>1.9240999999999999</v>
      </c>
      <c r="AS40" s="118">
        <v>1.9151</v>
      </c>
      <c r="AT40" s="174"/>
      <c r="AU40" s="118"/>
      <c r="AV40" s="61">
        <v>1.0056764320069</v>
      </c>
      <c r="AW40">
        <v>1</v>
      </c>
      <c r="AX40">
        <v>2.375E-2</v>
      </c>
      <c r="AY40">
        <v>3.7240000000000002E-2</v>
      </c>
      <c r="AZ40">
        <v>0.23877000000000001</v>
      </c>
      <c r="BA40">
        <v>0.18959999999999999</v>
      </c>
      <c r="BB40">
        <v>1</v>
      </c>
      <c r="BC40">
        <v>1.00729</v>
      </c>
      <c r="BD40" s="74">
        <v>1</v>
      </c>
      <c r="BE40" s="79" t="s">
        <v>517</v>
      </c>
      <c r="BF40" s="79" t="s">
        <v>517</v>
      </c>
      <c r="BG40" s="72" t="s">
        <v>280</v>
      </c>
      <c r="BH40" s="72"/>
      <c r="BI40"/>
      <c r="BJ40">
        <v>1</v>
      </c>
      <c r="BK40" s="61" t="str">
        <f t="shared" si="0"/>
        <v>00</v>
      </c>
      <c r="BL40" s="61" t="s">
        <v>518</v>
      </c>
      <c r="BM40" s="61">
        <v>1</v>
      </c>
      <c r="BN40" s="146">
        <v>1.0057304487000001</v>
      </c>
    </row>
    <row r="41" spans="1:66" x14ac:dyDescent="0.25">
      <c r="A41" s="79" t="s">
        <v>352</v>
      </c>
      <c r="B41" t="s">
        <v>353</v>
      </c>
      <c r="C41" s="72" t="s">
        <v>519</v>
      </c>
      <c r="D41" s="72" t="s">
        <v>519</v>
      </c>
      <c r="E41" s="72" t="s">
        <v>519</v>
      </c>
      <c r="F41" s="72" t="s">
        <v>519</v>
      </c>
      <c r="G41" s="72" t="s">
        <v>520</v>
      </c>
      <c r="H41" s="72" t="s">
        <v>515</v>
      </c>
      <c r="I41" s="72" t="s">
        <v>516</v>
      </c>
      <c r="J41" s="72" t="s">
        <v>516</v>
      </c>
      <c r="K41" s="72" t="s">
        <v>79</v>
      </c>
      <c r="L41" s="61">
        <v>1.0083</v>
      </c>
      <c r="M41" s="72"/>
      <c r="N41" s="72"/>
      <c r="O41" s="72"/>
      <c r="P41" s="72"/>
      <c r="R41">
        <v>1</v>
      </c>
      <c r="S41">
        <v>0</v>
      </c>
      <c r="T41">
        <v>0</v>
      </c>
      <c r="U41">
        <v>183</v>
      </c>
      <c r="V41">
        <v>123</v>
      </c>
      <c r="W41" s="61">
        <v>0</v>
      </c>
      <c r="X41" s="61">
        <v>0</v>
      </c>
      <c r="Y41">
        <v>0.1666</v>
      </c>
      <c r="Z41">
        <v>8.9499999999999996E-3</v>
      </c>
      <c r="AA41">
        <v>3.431E-2</v>
      </c>
      <c r="AB41">
        <v>8.9499999999999996E-3</v>
      </c>
      <c r="AC41">
        <v>9.8999999999999994E-5</v>
      </c>
      <c r="AD41">
        <v>535.86</v>
      </c>
      <c r="AE41">
        <v>9.5000000000000005E-5</v>
      </c>
      <c r="AF41">
        <v>517.42999999999995</v>
      </c>
      <c r="AG41">
        <v>0.18099999999999999</v>
      </c>
      <c r="AH41">
        <v>1.4E-2</v>
      </c>
      <c r="AI41" s="61">
        <v>0</v>
      </c>
      <c r="AK41" s="61">
        <v>948</v>
      </c>
      <c r="AL41" s="174">
        <v>917.88</v>
      </c>
      <c r="AM41" s="118">
        <v>1.8611</v>
      </c>
      <c r="AN41" s="118">
        <v>1.8279000000000001</v>
      </c>
      <c r="AO41" s="174"/>
      <c r="AP41" s="118"/>
      <c r="AQ41" s="174">
        <v>920.56</v>
      </c>
      <c r="AR41" s="118">
        <v>1.8633999999999999</v>
      </c>
      <c r="AS41" s="118">
        <v>1.8347</v>
      </c>
      <c r="AT41" s="174"/>
      <c r="AU41" s="118"/>
      <c r="AV41" s="61">
        <v>1.0056764320069</v>
      </c>
      <c r="AW41">
        <v>1</v>
      </c>
      <c r="AX41">
        <v>2.9819999999999999E-2</v>
      </c>
      <c r="AY41">
        <v>2.8150000000000001E-2</v>
      </c>
      <c r="AZ41">
        <v>9.9919999999999995E-2</v>
      </c>
      <c r="BA41">
        <v>0.15620000000000001</v>
      </c>
      <c r="BB41">
        <v>1</v>
      </c>
      <c r="BC41">
        <v>0.99719999999999998</v>
      </c>
      <c r="BD41" s="74">
        <v>0.99980000000000002</v>
      </c>
      <c r="BE41" s="79" t="s">
        <v>517</v>
      </c>
      <c r="BF41" s="79" t="s">
        <v>517</v>
      </c>
      <c r="BG41" s="72" t="s">
        <v>280</v>
      </c>
      <c r="BH41" s="72"/>
      <c r="BI41"/>
      <c r="BJ41">
        <v>1</v>
      </c>
      <c r="BK41" s="61" t="str">
        <f t="shared" si="0"/>
        <v>00</v>
      </c>
      <c r="BL41" s="61" t="s">
        <v>518</v>
      </c>
      <c r="BM41" s="61">
        <v>0.99919999999999998</v>
      </c>
      <c r="BN41" s="146">
        <v>0.99476704010000006</v>
      </c>
    </row>
    <row r="42" spans="1:66" x14ac:dyDescent="0.25">
      <c r="A42" s="79" t="s">
        <v>354</v>
      </c>
      <c r="B42" t="s">
        <v>355</v>
      </c>
      <c r="C42" s="72" t="s">
        <v>526</v>
      </c>
      <c r="D42" s="72" t="s">
        <v>526</v>
      </c>
      <c r="E42" s="72" t="s">
        <v>526</v>
      </c>
      <c r="F42" s="72" t="s">
        <v>526</v>
      </c>
      <c r="G42" s="72" t="s">
        <v>536</v>
      </c>
      <c r="H42" s="72" t="s">
        <v>515</v>
      </c>
      <c r="I42" s="72" t="s">
        <v>528</v>
      </c>
      <c r="J42" s="72" t="s">
        <v>528</v>
      </c>
      <c r="K42" s="72" t="s">
        <v>79</v>
      </c>
      <c r="L42" s="61">
        <v>1.0083</v>
      </c>
      <c r="M42" s="72"/>
      <c r="N42" s="72"/>
      <c r="O42" s="72"/>
      <c r="P42" s="72"/>
      <c r="R42">
        <v>1</v>
      </c>
      <c r="S42">
        <v>0</v>
      </c>
      <c r="T42">
        <v>0</v>
      </c>
      <c r="U42">
        <v>12</v>
      </c>
      <c r="V42">
        <v>3</v>
      </c>
      <c r="W42" s="61">
        <v>0</v>
      </c>
      <c r="X42" s="61">
        <v>0</v>
      </c>
      <c r="Y42">
        <v>1.4659999999999999E-2</v>
      </c>
      <c r="Z42">
        <v>0</v>
      </c>
      <c r="AA42">
        <v>0</v>
      </c>
      <c r="AB42">
        <v>0</v>
      </c>
      <c r="AD42">
        <v>0</v>
      </c>
      <c r="AF42">
        <v>0</v>
      </c>
      <c r="AG42">
        <v>0.25800000000000001</v>
      </c>
      <c r="AH42">
        <v>1.9E-2</v>
      </c>
      <c r="AI42" s="61">
        <v>0</v>
      </c>
      <c r="AK42" s="61">
        <v>62</v>
      </c>
      <c r="AL42" s="174">
        <v>61.58</v>
      </c>
      <c r="AM42" s="118">
        <v>3.3811</v>
      </c>
      <c r="AN42" s="118">
        <v>3.3856999999999999</v>
      </c>
      <c r="AO42" s="174"/>
      <c r="AP42" s="118"/>
      <c r="AQ42" s="174">
        <v>61.45</v>
      </c>
      <c r="AR42" s="118">
        <v>3.1999</v>
      </c>
      <c r="AS42" s="118">
        <v>3.1949000000000001</v>
      </c>
      <c r="AT42" s="174"/>
      <c r="AU42" s="118"/>
      <c r="AV42" s="61">
        <v>1.0056764320069</v>
      </c>
      <c r="AW42">
        <v>1</v>
      </c>
      <c r="AX42">
        <v>0</v>
      </c>
      <c r="AY42">
        <v>0</v>
      </c>
      <c r="AZ42">
        <v>0.20776</v>
      </c>
      <c r="BA42">
        <v>1.4659999999999999E-2</v>
      </c>
      <c r="BB42">
        <v>1</v>
      </c>
      <c r="BC42">
        <v>1</v>
      </c>
      <c r="BD42" s="74">
        <v>1</v>
      </c>
      <c r="BE42" s="79" t="s">
        <v>517</v>
      </c>
      <c r="BF42" s="79" t="s">
        <v>517</v>
      </c>
      <c r="BG42" s="72" t="s">
        <v>171</v>
      </c>
      <c r="BH42" s="72"/>
      <c r="BI42"/>
      <c r="BJ42">
        <v>1</v>
      </c>
      <c r="BK42" s="61" t="str">
        <f t="shared" si="0"/>
        <v>00</v>
      </c>
      <c r="BL42" s="61" t="s">
        <v>518</v>
      </c>
      <c r="BM42" s="61">
        <v>1</v>
      </c>
      <c r="BN42" s="147" t="s">
        <v>377</v>
      </c>
    </row>
    <row r="43" spans="1:66" x14ac:dyDescent="0.25">
      <c r="A43" s="79" t="s">
        <v>356</v>
      </c>
      <c r="B43" t="s">
        <v>357</v>
      </c>
      <c r="C43" s="72" t="s">
        <v>526</v>
      </c>
      <c r="D43" s="72" t="s">
        <v>526</v>
      </c>
      <c r="E43" s="72" t="s">
        <v>526</v>
      </c>
      <c r="F43" s="72" t="s">
        <v>526</v>
      </c>
      <c r="G43" s="72" t="s">
        <v>550</v>
      </c>
      <c r="H43" s="72" t="s">
        <v>515</v>
      </c>
      <c r="I43" s="72" t="s">
        <v>528</v>
      </c>
      <c r="J43" s="72" t="s">
        <v>528</v>
      </c>
      <c r="K43" s="72" t="s">
        <v>79</v>
      </c>
      <c r="L43" s="61">
        <v>1.0083</v>
      </c>
      <c r="M43" s="72"/>
      <c r="N43" s="72"/>
      <c r="O43" s="72"/>
      <c r="P43" s="72"/>
      <c r="R43">
        <v>1</v>
      </c>
      <c r="S43">
        <v>0</v>
      </c>
      <c r="T43">
        <v>0</v>
      </c>
      <c r="U43">
        <v>34</v>
      </c>
      <c r="V43">
        <v>7</v>
      </c>
      <c r="W43" s="61">
        <v>0</v>
      </c>
      <c r="X43" s="61">
        <v>0</v>
      </c>
      <c r="Y43">
        <v>0.32829999999999998</v>
      </c>
      <c r="Z43">
        <v>0.03</v>
      </c>
      <c r="AA43">
        <v>0</v>
      </c>
      <c r="AB43">
        <v>0.03</v>
      </c>
      <c r="AD43">
        <v>0</v>
      </c>
      <c r="AF43">
        <v>0</v>
      </c>
      <c r="AG43">
        <v>0.28799999999999998</v>
      </c>
      <c r="AH43">
        <v>2.5000000000000001E-2</v>
      </c>
      <c r="AI43" s="61">
        <v>16</v>
      </c>
      <c r="AJ43" s="61">
        <v>11308.07</v>
      </c>
      <c r="AK43" s="61">
        <v>177</v>
      </c>
      <c r="AL43" s="174">
        <v>170.6</v>
      </c>
      <c r="AM43" s="118">
        <v>1.5044</v>
      </c>
      <c r="AN43" s="118">
        <v>1.5047999999999999</v>
      </c>
      <c r="AO43" s="174"/>
      <c r="AP43" s="118"/>
      <c r="AQ43" s="174">
        <v>170.82</v>
      </c>
      <c r="AR43" s="118">
        <v>1.5101</v>
      </c>
      <c r="AS43" s="118">
        <v>1.5101</v>
      </c>
      <c r="AT43" s="174"/>
      <c r="AU43" s="118"/>
      <c r="AV43" s="61">
        <v>1.0056764320069</v>
      </c>
      <c r="AW43">
        <v>1</v>
      </c>
      <c r="AX43">
        <v>2.5500000000000002E-3</v>
      </c>
      <c r="AY43">
        <v>3.8400000000000001E-3</v>
      </c>
      <c r="AZ43">
        <v>0.12798000000000001</v>
      </c>
      <c r="BA43">
        <v>0.31929999999999997</v>
      </c>
      <c r="BB43">
        <v>1</v>
      </c>
      <c r="BC43">
        <v>1</v>
      </c>
      <c r="BD43" s="74">
        <v>1</v>
      </c>
      <c r="BE43" s="79" t="s">
        <v>517</v>
      </c>
      <c r="BF43" s="79" t="s">
        <v>517</v>
      </c>
      <c r="BG43" s="72" t="s">
        <v>280</v>
      </c>
      <c r="BH43" s="72"/>
      <c r="BI43"/>
      <c r="BJ43">
        <v>1</v>
      </c>
      <c r="BK43" s="61" t="str">
        <f t="shared" si="0"/>
        <v>00</v>
      </c>
      <c r="BL43" s="61" t="s">
        <v>518</v>
      </c>
      <c r="BM43" s="61">
        <v>1</v>
      </c>
      <c r="BN43" s="147" t="s">
        <v>377</v>
      </c>
    </row>
    <row r="44" spans="1:66" x14ac:dyDescent="0.25">
      <c r="A44" s="79" t="s">
        <v>160</v>
      </c>
      <c r="B44" t="s">
        <v>358</v>
      </c>
      <c r="C44" s="72" t="s">
        <v>531</v>
      </c>
      <c r="D44" s="72" t="s">
        <v>531</v>
      </c>
      <c r="E44" s="72" t="s">
        <v>531</v>
      </c>
      <c r="F44" s="72" t="s">
        <v>531</v>
      </c>
      <c r="G44" s="72" t="s">
        <v>532</v>
      </c>
      <c r="H44" s="72" t="s">
        <v>515</v>
      </c>
      <c r="I44" s="72" t="s">
        <v>516</v>
      </c>
      <c r="J44" s="72" t="s">
        <v>516</v>
      </c>
      <c r="K44" s="72" t="s">
        <v>79</v>
      </c>
      <c r="L44" s="61">
        <v>1.0083</v>
      </c>
      <c r="M44" s="72"/>
      <c r="N44" s="72"/>
      <c r="O44" s="72"/>
      <c r="P44" s="72"/>
      <c r="R44">
        <v>1</v>
      </c>
      <c r="S44">
        <v>0</v>
      </c>
      <c r="T44">
        <v>0</v>
      </c>
      <c r="U44">
        <v>180</v>
      </c>
      <c r="V44">
        <v>146</v>
      </c>
      <c r="W44" s="61">
        <v>0</v>
      </c>
      <c r="X44" s="61">
        <v>0</v>
      </c>
      <c r="Y44">
        <v>0.19850000000000001</v>
      </c>
      <c r="Z44">
        <v>1.413E-2</v>
      </c>
      <c r="AA44">
        <v>4.1020000000000001E-2</v>
      </c>
      <c r="AB44">
        <v>1.413E-2</v>
      </c>
      <c r="AC44">
        <v>2.9999999999999997E-4</v>
      </c>
      <c r="AD44">
        <v>491.08</v>
      </c>
      <c r="AE44">
        <v>2.7399999999999999E-4</v>
      </c>
      <c r="AF44">
        <v>471.26</v>
      </c>
      <c r="AG44">
        <v>0.22</v>
      </c>
      <c r="AH44">
        <v>0.01</v>
      </c>
      <c r="AI44" s="61">
        <v>0</v>
      </c>
      <c r="AK44" s="61">
        <v>3537</v>
      </c>
      <c r="AL44" s="174">
        <v>3474.75</v>
      </c>
      <c r="AM44" s="118">
        <v>2.5388999999999999</v>
      </c>
      <c r="AN44" s="118">
        <v>2.5285000000000002</v>
      </c>
      <c r="AO44" s="174"/>
      <c r="AP44" s="118"/>
      <c r="AQ44" s="174">
        <v>3480.53</v>
      </c>
      <c r="AR44" s="118">
        <v>2.5192000000000001</v>
      </c>
      <c r="AS44" s="118">
        <v>2.5099999999999998</v>
      </c>
      <c r="AT44" s="174"/>
      <c r="AU44" s="118"/>
      <c r="AV44" s="61">
        <v>1.0056764320069</v>
      </c>
      <c r="AW44">
        <v>1</v>
      </c>
      <c r="AX44">
        <v>8.3680000000000004E-2</v>
      </c>
      <c r="AY44">
        <v>2.197E-2</v>
      </c>
      <c r="AZ44">
        <v>0.31806000000000001</v>
      </c>
      <c r="BA44">
        <v>0.17580000000000001</v>
      </c>
      <c r="BB44">
        <v>1</v>
      </c>
      <c r="BC44">
        <v>1.00088</v>
      </c>
      <c r="BD44" s="74">
        <v>0.996</v>
      </c>
      <c r="BE44" s="79" t="s">
        <v>517</v>
      </c>
      <c r="BF44" s="79" t="s">
        <v>517</v>
      </c>
      <c r="BG44" s="72" t="s">
        <v>280</v>
      </c>
      <c r="BH44" s="72"/>
      <c r="BI44"/>
      <c r="BJ44">
        <v>1</v>
      </c>
      <c r="BK44" s="61" t="str">
        <f t="shared" si="0"/>
        <v>00</v>
      </c>
      <c r="BL44" s="61" t="s">
        <v>518</v>
      </c>
      <c r="BM44" s="61">
        <v>0.99670000000000003</v>
      </c>
      <c r="BN44" s="146">
        <v>0.99633324130000001</v>
      </c>
    </row>
    <row r="45" spans="1:66" x14ac:dyDescent="0.25">
      <c r="A45" s="79" t="s">
        <v>359</v>
      </c>
      <c r="B45" t="s">
        <v>360</v>
      </c>
      <c r="C45" s="72" t="s">
        <v>522</v>
      </c>
      <c r="D45" s="72" t="s">
        <v>522</v>
      </c>
      <c r="E45" s="72" t="s">
        <v>519</v>
      </c>
      <c r="F45" s="72" t="s">
        <v>522</v>
      </c>
      <c r="G45" s="72" t="s">
        <v>530</v>
      </c>
      <c r="H45" s="72" t="s">
        <v>515</v>
      </c>
      <c r="I45" s="72" t="s">
        <v>524</v>
      </c>
      <c r="J45" s="72" t="s">
        <v>524</v>
      </c>
      <c r="K45" s="72" t="s">
        <v>281</v>
      </c>
      <c r="L45" s="61">
        <v>1.0083</v>
      </c>
      <c r="M45" s="72"/>
      <c r="N45" s="72"/>
      <c r="O45" s="72"/>
      <c r="P45" s="72"/>
      <c r="R45">
        <v>1</v>
      </c>
      <c r="S45">
        <v>0</v>
      </c>
      <c r="T45">
        <v>0</v>
      </c>
      <c r="U45">
        <v>48</v>
      </c>
      <c r="V45">
        <v>6</v>
      </c>
      <c r="W45" s="61">
        <v>0</v>
      </c>
      <c r="X45" s="61">
        <v>0</v>
      </c>
      <c r="Y45">
        <v>1.2200000000000001E-2</v>
      </c>
      <c r="Z45">
        <v>0</v>
      </c>
      <c r="AA45">
        <v>0</v>
      </c>
      <c r="AB45">
        <v>0</v>
      </c>
      <c r="AD45">
        <v>0</v>
      </c>
      <c r="AF45">
        <v>0</v>
      </c>
      <c r="AG45">
        <v>0.14099999999999999</v>
      </c>
      <c r="AH45">
        <v>1.7999999999999999E-2</v>
      </c>
      <c r="AI45" s="61">
        <v>0</v>
      </c>
      <c r="AK45" s="61">
        <v>265</v>
      </c>
      <c r="AL45" s="174">
        <v>261.79000000000002</v>
      </c>
      <c r="AM45" s="118">
        <v>4.4740000000000002</v>
      </c>
      <c r="AN45" s="118">
        <v>4.4775</v>
      </c>
      <c r="AO45" s="174"/>
      <c r="AP45" s="118"/>
      <c r="AQ45" s="174">
        <v>261.63</v>
      </c>
      <c r="AR45" s="118">
        <v>4.4255000000000004</v>
      </c>
      <c r="AS45" s="118">
        <v>4.423</v>
      </c>
      <c r="AT45" s="174"/>
      <c r="AU45" s="118"/>
      <c r="AV45" s="61">
        <v>1.0056764320069</v>
      </c>
      <c r="AW45">
        <v>1</v>
      </c>
      <c r="AX45">
        <v>4.2999999999999999E-4</v>
      </c>
      <c r="AY45">
        <v>1.7700000000000001E-3</v>
      </c>
      <c r="AZ45">
        <v>0.31519999999999998</v>
      </c>
      <c r="BA45">
        <v>0</v>
      </c>
      <c r="BB45">
        <v>1</v>
      </c>
      <c r="BC45">
        <v>1</v>
      </c>
      <c r="BD45" s="74">
        <v>1</v>
      </c>
      <c r="BE45" s="79" t="s">
        <v>517</v>
      </c>
      <c r="BF45" s="79" t="s">
        <v>517</v>
      </c>
      <c r="BG45" s="72" t="s">
        <v>280</v>
      </c>
      <c r="BH45" s="72"/>
      <c r="BI45"/>
      <c r="BJ45">
        <v>1</v>
      </c>
      <c r="BK45" s="61" t="str">
        <f t="shared" si="0"/>
        <v>00</v>
      </c>
      <c r="BL45" s="61" t="s">
        <v>518</v>
      </c>
      <c r="BM45" s="61">
        <v>1</v>
      </c>
      <c r="BN45" s="147" t="s">
        <v>377</v>
      </c>
    </row>
    <row r="46" spans="1:66" x14ac:dyDescent="0.25">
      <c r="A46" s="79" t="s">
        <v>361</v>
      </c>
      <c r="B46" t="s">
        <v>362</v>
      </c>
      <c r="C46" s="72" t="s">
        <v>522</v>
      </c>
      <c r="D46" s="72" t="s">
        <v>522</v>
      </c>
      <c r="E46" s="72" t="s">
        <v>522</v>
      </c>
      <c r="F46" s="72" t="s">
        <v>522</v>
      </c>
      <c r="G46" s="72" t="s">
        <v>549</v>
      </c>
      <c r="H46" s="72" t="s">
        <v>515</v>
      </c>
      <c r="I46" s="72" t="s">
        <v>524</v>
      </c>
      <c r="J46" s="72" t="s">
        <v>524</v>
      </c>
      <c r="K46" s="72" t="s">
        <v>79</v>
      </c>
      <c r="L46" s="61">
        <v>1.0083</v>
      </c>
      <c r="M46" s="72"/>
      <c r="N46" s="72"/>
      <c r="O46" s="72"/>
      <c r="P46" s="72"/>
      <c r="R46">
        <v>1</v>
      </c>
      <c r="S46">
        <v>0</v>
      </c>
      <c r="T46">
        <v>0</v>
      </c>
      <c r="U46">
        <v>88</v>
      </c>
      <c r="V46">
        <v>44</v>
      </c>
      <c r="W46" s="61">
        <v>0</v>
      </c>
      <c r="X46" s="61">
        <v>0</v>
      </c>
      <c r="Y46">
        <v>0.1719</v>
      </c>
      <c r="Z46">
        <v>9.8099999999999993E-3</v>
      </c>
      <c r="AA46">
        <v>0</v>
      </c>
      <c r="AB46">
        <v>9.8099999999999993E-3</v>
      </c>
      <c r="AC46">
        <v>9.2999999999999997E-5</v>
      </c>
      <c r="AD46">
        <v>603.65</v>
      </c>
      <c r="AE46">
        <v>8.2999999999999998E-5</v>
      </c>
      <c r="AF46">
        <v>655.55</v>
      </c>
      <c r="AG46">
        <v>0.186</v>
      </c>
      <c r="AH46">
        <v>1.9E-2</v>
      </c>
      <c r="AI46" s="61">
        <v>0</v>
      </c>
      <c r="AK46" s="61">
        <v>844</v>
      </c>
      <c r="AL46" s="174">
        <v>824.5</v>
      </c>
      <c r="AM46" s="118">
        <v>1.7552000000000001</v>
      </c>
      <c r="AN46" s="118">
        <v>1.7423999999999999</v>
      </c>
      <c r="AO46" s="174"/>
      <c r="AP46" s="118"/>
      <c r="AQ46" s="174">
        <v>826</v>
      </c>
      <c r="AR46" s="118">
        <v>1.7513000000000001</v>
      </c>
      <c r="AS46" s="118">
        <v>1.7396</v>
      </c>
      <c r="AT46" s="174"/>
      <c r="AU46" s="118"/>
      <c r="AV46" s="61">
        <v>1.0056764320069</v>
      </c>
      <c r="AW46">
        <v>1</v>
      </c>
      <c r="AX46">
        <v>2.5219999999999999E-2</v>
      </c>
      <c r="AY46">
        <v>4.224E-2</v>
      </c>
      <c r="AZ46">
        <v>0.20638999999999999</v>
      </c>
      <c r="BA46">
        <v>0.15840000000000001</v>
      </c>
      <c r="BB46">
        <v>1</v>
      </c>
      <c r="BC46">
        <v>1.00871</v>
      </c>
      <c r="BD46" s="74">
        <v>0.99829999999999997</v>
      </c>
      <c r="BE46" s="79" t="s">
        <v>517</v>
      </c>
      <c r="BF46" s="79" t="s">
        <v>517</v>
      </c>
      <c r="BG46" s="72" t="s">
        <v>280</v>
      </c>
      <c r="BH46" s="72"/>
      <c r="BI46"/>
      <c r="BJ46">
        <v>1</v>
      </c>
      <c r="BK46" s="61" t="str">
        <f t="shared" si="0"/>
        <v>00</v>
      </c>
      <c r="BL46" s="61" t="s">
        <v>518</v>
      </c>
      <c r="BM46" s="61">
        <v>0.99880000000000002</v>
      </c>
      <c r="BN46" s="146">
        <v>1.0031574038</v>
      </c>
    </row>
    <row r="47" spans="1:66" x14ac:dyDescent="0.25">
      <c r="A47" s="79" t="s">
        <v>363</v>
      </c>
      <c r="B47" t="s">
        <v>364</v>
      </c>
      <c r="C47" s="72" t="s">
        <v>531</v>
      </c>
      <c r="D47" s="72" t="s">
        <v>531</v>
      </c>
      <c r="E47" s="72" t="s">
        <v>531</v>
      </c>
      <c r="F47" s="72" t="s">
        <v>531</v>
      </c>
      <c r="G47" s="72" t="s">
        <v>532</v>
      </c>
      <c r="H47" s="72" t="s">
        <v>515</v>
      </c>
      <c r="I47" s="72" t="s">
        <v>516</v>
      </c>
      <c r="J47" s="72" t="s">
        <v>516</v>
      </c>
      <c r="K47" s="72" t="s">
        <v>79</v>
      </c>
      <c r="L47" s="61">
        <v>1.0083</v>
      </c>
      <c r="M47" s="72"/>
      <c r="N47" s="72"/>
      <c r="O47" s="72"/>
      <c r="P47" s="72"/>
      <c r="R47">
        <v>1</v>
      </c>
      <c r="S47">
        <v>0</v>
      </c>
      <c r="T47">
        <v>0</v>
      </c>
      <c r="U47">
        <v>29</v>
      </c>
      <c r="V47">
        <v>10</v>
      </c>
      <c r="W47" s="61">
        <v>0</v>
      </c>
      <c r="X47" s="61">
        <v>0</v>
      </c>
      <c r="Y47">
        <v>0.3528</v>
      </c>
      <c r="Z47">
        <v>0.03</v>
      </c>
      <c r="AA47">
        <v>0</v>
      </c>
      <c r="AB47">
        <v>0.03</v>
      </c>
      <c r="AC47">
        <v>4.0000000000000003E-5</v>
      </c>
      <c r="AD47">
        <v>2117.87</v>
      </c>
      <c r="AE47">
        <v>4.3999999999999999E-5</v>
      </c>
      <c r="AF47">
        <v>2144.56</v>
      </c>
      <c r="AG47">
        <v>0.35599999999999998</v>
      </c>
      <c r="AH47">
        <v>7.8E-2</v>
      </c>
      <c r="AI47" s="61">
        <v>0</v>
      </c>
      <c r="AK47" s="61">
        <v>89</v>
      </c>
      <c r="AL47" s="174">
        <v>84.3</v>
      </c>
      <c r="AM47" s="118">
        <v>1.8244</v>
      </c>
      <c r="AN47" s="118">
        <v>1.8455999999999999</v>
      </c>
      <c r="AO47" s="174"/>
      <c r="AP47" s="118"/>
      <c r="AQ47" s="174">
        <v>84.67</v>
      </c>
      <c r="AR47" s="118">
        <v>1.8113999999999999</v>
      </c>
      <c r="AS47" s="118">
        <v>1.8318000000000001</v>
      </c>
      <c r="AT47" s="174"/>
      <c r="AU47" s="118"/>
      <c r="AV47" s="61">
        <v>1.0056764320069</v>
      </c>
      <c r="AW47">
        <v>1</v>
      </c>
      <c r="AX47">
        <v>6.0409999999999998E-2</v>
      </c>
      <c r="AY47">
        <v>0.28799000000000002</v>
      </c>
      <c r="AZ47">
        <v>6.6449999999999995E-2</v>
      </c>
      <c r="BA47">
        <v>0.34150000000000003</v>
      </c>
      <c r="BB47">
        <v>1</v>
      </c>
      <c r="BC47">
        <v>1</v>
      </c>
      <c r="BD47" s="74">
        <v>1</v>
      </c>
      <c r="BE47" s="79" t="s">
        <v>517</v>
      </c>
      <c r="BF47" s="79" t="s">
        <v>517</v>
      </c>
      <c r="BG47" s="72" t="s">
        <v>280</v>
      </c>
      <c r="BH47" s="72"/>
      <c r="BI47"/>
      <c r="BJ47">
        <v>1</v>
      </c>
      <c r="BK47" s="61" t="str">
        <f t="shared" si="0"/>
        <v>00</v>
      </c>
      <c r="BL47" s="61" t="s">
        <v>518</v>
      </c>
      <c r="BM47" s="61">
        <v>1</v>
      </c>
      <c r="BN47" s="147" t="s">
        <v>377</v>
      </c>
    </row>
    <row r="48" spans="1:66" x14ac:dyDescent="0.25">
      <c r="A48" s="79" t="s">
        <v>365</v>
      </c>
      <c r="B48" t="s">
        <v>366</v>
      </c>
      <c r="C48" s="72" t="s">
        <v>519</v>
      </c>
      <c r="D48" s="72" t="s">
        <v>519</v>
      </c>
      <c r="E48" s="72" t="s">
        <v>519</v>
      </c>
      <c r="F48" s="72" t="s">
        <v>519</v>
      </c>
      <c r="G48" s="72" t="s">
        <v>520</v>
      </c>
      <c r="H48" s="72" t="s">
        <v>515</v>
      </c>
      <c r="I48" s="72" t="s">
        <v>516</v>
      </c>
      <c r="J48" s="72" t="s">
        <v>516</v>
      </c>
      <c r="K48" s="72" t="s">
        <v>79</v>
      </c>
      <c r="L48" s="61">
        <v>1.0083</v>
      </c>
      <c r="M48" s="72"/>
      <c r="N48" s="72"/>
      <c r="O48" s="72"/>
      <c r="P48" s="72"/>
      <c r="R48">
        <v>1</v>
      </c>
      <c r="S48">
        <v>0</v>
      </c>
      <c r="T48">
        <v>0</v>
      </c>
      <c r="U48">
        <v>72</v>
      </c>
      <c r="V48">
        <v>51</v>
      </c>
      <c r="W48" s="61">
        <v>0</v>
      </c>
      <c r="X48" s="61">
        <v>0</v>
      </c>
      <c r="Y48">
        <v>0.26529999999999998</v>
      </c>
      <c r="Z48">
        <v>2.776E-2</v>
      </c>
      <c r="AA48">
        <v>0</v>
      </c>
      <c r="AB48">
        <v>2.776E-2</v>
      </c>
      <c r="AC48">
        <v>1.26E-4</v>
      </c>
      <c r="AD48">
        <v>633.17999999999995</v>
      </c>
      <c r="AE48">
        <v>1.1400000000000001E-4</v>
      </c>
      <c r="AF48">
        <v>667.34</v>
      </c>
      <c r="AG48">
        <v>0.17799999999999999</v>
      </c>
      <c r="AH48">
        <v>1.7999999999999999E-2</v>
      </c>
      <c r="AI48" s="61">
        <v>0</v>
      </c>
      <c r="AK48" s="61">
        <v>1162</v>
      </c>
      <c r="AL48" s="174">
        <v>1127.06</v>
      </c>
      <c r="AM48" s="118">
        <v>1.6878</v>
      </c>
      <c r="AN48" s="118">
        <v>1.6747000000000001</v>
      </c>
      <c r="AO48" s="174"/>
      <c r="AP48" s="118"/>
      <c r="AQ48" s="174">
        <v>1129.51</v>
      </c>
      <c r="AR48" s="118">
        <v>1.6851</v>
      </c>
      <c r="AS48" s="118">
        <v>1.6719999999999999</v>
      </c>
      <c r="AT48" s="174"/>
      <c r="AU48" s="118"/>
      <c r="AV48" s="61">
        <v>1.0056764320069</v>
      </c>
      <c r="AW48">
        <v>1</v>
      </c>
      <c r="AX48">
        <v>2.009E-2</v>
      </c>
      <c r="AY48">
        <v>3.4279999999999998E-2</v>
      </c>
      <c r="AZ48">
        <v>0.23483999999999999</v>
      </c>
      <c r="BA48">
        <v>0.24399999999999999</v>
      </c>
      <c r="BB48">
        <v>1</v>
      </c>
      <c r="BC48">
        <v>0.99470999999999998</v>
      </c>
      <c r="BD48" s="74">
        <v>1</v>
      </c>
      <c r="BE48" s="79" t="s">
        <v>517</v>
      </c>
      <c r="BF48" s="79" t="s">
        <v>517</v>
      </c>
      <c r="BG48" s="72" t="s">
        <v>280</v>
      </c>
      <c r="BH48" s="72"/>
      <c r="BI48"/>
      <c r="BJ48">
        <v>1</v>
      </c>
      <c r="BK48" s="61" t="str">
        <f t="shared" si="0"/>
        <v>00</v>
      </c>
      <c r="BL48" s="61" t="s">
        <v>518</v>
      </c>
      <c r="BM48" s="61">
        <v>1</v>
      </c>
      <c r="BN48" s="146">
        <v>1.0009199735000001</v>
      </c>
    </row>
    <row r="49" spans="1:66" x14ac:dyDescent="0.25">
      <c r="A49" s="79" t="s">
        <v>162</v>
      </c>
      <c r="B49" t="s">
        <v>367</v>
      </c>
      <c r="C49" s="72" t="s">
        <v>522</v>
      </c>
      <c r="D49" s="72" t="s">
        <v>522</v>
      </c>
      <c r="E49" s="72" t="s">
        <v>522</v>
      </c>
      <c r="F49" s="72" t="s">
        <v>522</v>
      </c>
      <c r="G49" s="72" t="s">
        <v>551</v>
      </c>
      <c r="H49" s="72" t="s">
        <v>515</v>
      </c>
      <c r="I49" s="72" t="s">
        <v>524</v>
      </c>
      <c r="J49" s="72" t="s">
        <v>524</v>
      </c>
      <c r="K49" s="72" t="s">
        <v>79</v>
      </c>
      <c r="L49" s="61">
        <v>1.0083</v>
      </c>
      <c r="M49" s="72"/>
      <c r="N49" s="72"/>
      <c r="O49" s="72"/>
      <c r="P49" s="72"/>
      <c r="R49">
        <v>1</v>
      </c>
      <c r="S49">
        <v>0</v>
      </c>
      <c r="T49">
        <v>0</v>
      </c>
      <c r="U49">
        <v>20</v>
      </c>
      <c r="V49">
        <v>8</v>
      </c>
      <c r="W49" s="61">
        <v>0</v>
      </c>
      <c r="X49" s="61">
        <v>0</v>
      </c>
      <c r="Y49">
        <v>0.73480000000000001</v>
      </c>
      <c r="Z49">
        <v>0.03</v>
      </c>
      <c r="AA49">
        <v>0</v>
      </c>
      <c r="AB49">
        <v>0.03</v>
      </c>
      <c r="AC49">
        <v>9.1000000000000003E-5</v>
      </c>
      <c r="AD49">
        <v>3468.48</v>
      </c>
      <c r="AE49">
        <v>1.64E-4</v>
      </c>
      <c r="AF49">
        <v>7141.09</v>
      </c>
      <c r="AG49">
        <v>0.26</v>
      </c>
      <c r="AH49">
        <v>3.2000000000000001E-2</v>
      </c>
      <c r="AI49" s="61">
        <v>0</v>
      </c>
      <c r="AK49" s="61">
        <v>145</v>
      </c>
      <c r="AL49" s="174">
        <v>135.43</v>
      </c>
      <c r="AM49" s="118">
        <v>1.4784999999999999</v>
      </c>
      <c r="AN49" s="118">
        <v>1.4675</v>
      </c>
      <c r="AO49" s="174"/>
      <c r="AP49" s="118"/>
      <c r="AQ49" s="174">
        <v>136.05000000000001</v>
      </c>
      <c r="AR49" s="118">
        <v>1.4699</v>
      </c>
      <c r="AS49" s="118">
        <v>1.4611000000000001</v>
      </c>
      <c r="AT49" s="174"/>
      <c r="AU49" s="118"/>
      <c r="AV49" s="61">
        <v>1.0056764320069</v>
      </c>
      <c r="AW49">
        <v>1</v>
      </c>
      <c r="AX49">
        <v>9.4490000000000005E-2</v>
      </c>
      <c r="AY49">
        <v>0.17441999999999999</v>
      </c>
      <c r="AZ49">
        <v>0.26258999999999999</v>
      </c>
      <c r="BA49">
        <v>0.64400000000000002</v>
      </c>
      <c r="BB49">
        <v>1</v>
      </c>
      <c r="BC49">
        <v>1</v>
      </c>
      <c r="BD49" s="74">
        <v>0.99519999999999997</v>
      </c>
      <c r="BE49" s="79" t="s">
        <v>517</v>
      </c>
      <c r="BF49" s="79" t="s">
        <v>517</v>
      </c>
      <c r="BG49" s="72" t="s">
        <v>280</v>
      </c>
      <c r="BH49" s="72"/>
      <c r="BI49"/>
      <c r="BJ49">
        <v>1</v>
      </c>
      <c r="BK49" s="61" t="str">
        <f t="shared" si="0"/>
        <v>00</v>
      </c>
      <c r="BL49" s="61" t="s">
        <v>518</v>
      </c>
      <c r="BM49" s="61">
        <v>1</v>
      </c>
      <c r="BN49" s="147" t="s">
        <v>377</v>
      </c>
    </row>
    <row r="50" spans="1:66" x14ac:dyDescent="0.25">
      <c r="A50" s="79" t="s">
        <v>368</v>
      </c>
      <c r="B50" t="s">
        <v>369</v>
      </c>
      <c r="C50" s="72" t="s">
        <v>537</v>
      </c>
      <c r="D50" s="72" t="s">
        <v>537</v>
      </c>
      <c r="E50" s="72" t="s">
        <v>537</v>
      </c>
      <c r="F50" s="72" t="s">
        <v>537</v>
      </c>
      <c r="G50" s="72" t="s">
        <v>538</v>
      </c>
      <c r="H50" s="72" t="s">
        <v>515</v>
      </c>
      <c r="I50" s="72" t="s">
        <v>516</v>
      </c>
      <c r="J50" s="72" t="s">
        <v>516</v>
      </c>
      <c r="K50" s="72" t="s">
        <v>79</v>
      </c>
      <c r="L50" s="61">
        <v>1.0083</v>
      </c>
      <c r="M50" s="72"/>
      <c r="N50" s="72"/>
      <c r="O50" s="72"/>
      <c r="P50" s="72"/>
      <c r="R50">
        <v>1</v>
      </c>
      <c r="S50">
        <v>0</v>
      </c>
      <c r="T50">
        <v>0</v>
      </c>
      <c r="U50">
        <v>22</v>
      </c>
      <c r="V50">
        <v>3</v>
      </c>
      <c r="W50" s="61">
        <v>0</v>
      </c>
      <c r="X50" s="61">
        <v>0</v>
      </c>
      <c r="Y50">
        <v>0.19289999999999999</v>
      </c>
      <c r="Z50">
        <v>1.3220000000000001E-2</v>
      </c>
      <c r="AA50">
        <v>0</v>
      </c>
      <c r="AB50">
        <v>1.3220000000000001E-2</v>
      </c>
      <c r="AC50">
        <v>5.3000000000000001E-5</v>
      </c>
      <c r="AD50">
        <v>1356.95</v>
      </c>
      <c r="AE50">
        <v>6.2000000000000003E-5</v>
      </c>
      <c r="AF50">
        <v>1225.5899999999999</v>
      </c>
      <c r="AG50">
        <v>0.27300000000000002</v>
      </c>
      <c r="AH50">
        <v>3.5999999999999997E-2</v>
      </c>
      <c r="AI50" s="61">
        <v>0</v>
      </c>
      <c r="AK50" s="61">
        <v>149</v>
      </c>
      <c r="AL50" s="174">
        <v>142.72999999999999</v>
      </c>
      <c r="AM50" s="118">
        <v>1.6036999999999999</v>
      </c>
      <c r="AN50" s="118">
        <v>1.605</v>
      </c>
      <c r="AO50" s="174"/>
      <c r="AP50" s="118"/>
      <c r="AQ50" s="174">
        <v>143.02000000000001</v>
      </c>
      <c r="AR50" s="118">
        <v>1.5915999999999999</v>
      </c>
      <c r="AS50" s="118">
        <v>1.5932999999999999</v>
      </c>
      <c r="AT50" s="174"/>
      <c r="AU50" s="118"/>
      <c r="AV50" s="61">
        <v>1.0056764320069</v>
      </c>
      <c r="AW50">
        <v>1</v>
      </c>
      <c r="AX50">
        <v>0</v>
      </c>
      <c r="AY50">
        <v>0</v>
      </c>
      <c r="AZ50">
        <v>0.27627000000000002</v>
      </c>
      <c r="BA50">
        <v>0.17860000000000001</v>
      </c>
      <c r="BB50">
        <v>1</v>
      </c>
      <c r="BC50">
        <v>1</v>
      </c>
      <c r="BD50" s="74">
        <v>1</v>
      </c>
      <c r="BE50" s="79" t="s">
        <v>517</v>
      </c>
      <c r="BF50" s="79" t="s">
        <v>517</v>
      </c>
      <c r="BG50" s="72" t="s">
        <v>280</v>
      </c>
      <c r="BH50" s="72"/>
      <c r="BI50"/>
      <c r="BJ50">
        <v>1</v>
      </c>
      <c r="BK50" s="61" t="str">
        <f t="shared" si="0"/>
        <v>00</v>
      </c>
      <c r="BL50" s="61" t="s">
        <v>518</v>
      </c>
      <c r="BM50" s="61">
        <v>1</v>
      </c>
      <c r="BN50" s="147" t="s">
        <v>377</v>
      </c>
    </row>
    <row r="51" spans="1:66" x14ac:dyDescent="0.25">
      <c r="A51" s="79" t="s">
        <v>370</v>
      </c>
      <c r="B51" t="s">
        <v>371</v>
      </c>
      <c r="C51" s="72" t="s">
        <v>513</v>
      </c>
      <c r="D51" s="72" t="s">
        <v>513</v>
      </c>
      <c r="E51" s="72" t="s">
        <v>513</v>
      </c>
      <c r="F51" s="72" t="s">
        <v>513</v>
      </c>
      <c r="G51" s="72" t="s">
        <v>514</v>
      </c>
      <c r="H51" s="72" t="s">
        <v>515</v>
      </c>
      <c r="I51" s="72" t="s">
        <v>516</v>
      </c>
      <c r="J51" s="72" t="s">
        <v>516</v>
      </c>
      <c r="K51" s="72" t="s">
        <v>79</v>
      </c>
      <c r="L51" s="61">
        <v>1.0104</v>
      </c>
      <c r="M51" s="72"/>
      <c r="N51" s="72"/>
      <c r="O51" s="72"/>
      <c r="P51" s="72"/>
      <c r="R51">
        <v>1</v>
      </c>
      <c r="S51">
        <v>0</v>
      </c>
      <c r="T51">
        <v>0</v>
      </c>
      <c r="U51">
        <v>58</v>
      </c>
      <c r="V51">
        <v>43</v>
      </c>
      <c r="W51" s="61">
        <v>0</v>
      </c>
      <c r="X51" s="61">
        <v>0</v>
      </c>
      <c r="Y51">
        <v>0.28189999999999998</v>
      </c>
      <c r="Z51">
        <v>0.03</v>
      </c>
      <c r="AA51">
        <v>0</v>
      </c>
      <c r="AB51">
        <v>0.03</v>
      </c>
      <c r="AC51">
        <v>1.27E-4</v>
      </c>
      <c r="AD51">
        <v>780.42</v>
      </c>
      <c r="AE51">
        <v>1.1E-4</v>
      </c>
      <c r="AF51">
        <v>745.07</v>
      </c>
      <c r="AG51">
        <v>0.27900000000000003</v>
      </c>
      <c r="AH51">
        <v>3.3000000000000002E-2</v>
      </c>
      <c r="AI51" s="61">
        <v>0</v>
      </c>
      <c r="AK51" s="61">
        <v>988</v>
      </c>
      <c r="AL51" s="174">
        <v>954.02</v>
      </c>
      <c r="AM51" s="118">
        <v>1.6840999999999999</v>
      </c>
      <c r="AN51" s="118">
        <v>1.6765000000000001</v>
      </c>
      <c r="AO51" s="174"/>
      <c r="AP51" s="118"/>
      <c r="AQ51" s="174">
        <v>956.69</v>
      </c>
      <c r="AR51" s="118">
        <v>1.6798999999999999</v>
      </c>
      <c r="AS51" s="118">
        <v>1.6756</v>
      </c>
      <c r="AT51" s="174"/>
      <c r="AU51" s="118"/>
      <c r="AV51" s="61">
        <v>1.0071102997919843</v>
      </c>
      <c r="AW51">
        <v>1</v>
      </c>
      <c r="AX51">
        <v>5.9060000000000001E-2</v>
      </c>
      <c r="AY51">
        <v>0.13378999999999999</v>
      </c>
      <c r="AZ51">
        <v>0.23114999999999999</v>
      </c>
      <c r="BA51">
        <v>0.2465</v>
      </c>
      <c r="BB51">
        <v>1</v>
      </c>
      <c r="BC51">
        <v>0.99673</v>
      </c>
      <c r="BD51" s="74">
        <v>0.99939999999999996</v>
      </c>
      <c r="BE51" s="79" t="s">
        <v>517</v>
      </c>
      <c r="BF51" s="79" t="s">
        <v>517</v>
      </c>
      <c r="BG51" s="72" t="s">
        <v>280</v>
      </c>
      <c r="BH51" s="72"/>
      <c r="BI51"/>
      <c r="BJ51">
        <v>1</v>
      </c>
      <c r="BK51" s="61" t="str">
        <f t="shared" si="0"/>
        <v>00</v>
      </c>
      <c r="BL51" s="61" t="s">
        <v>525</v>
      </c>
      <c r="BM51" s="61">
        <v>0.99919999999999998</v>
      </c>
      <c r="BN51" s="146">
        <v>0.9954382692</v>
      </c>
    </row>
    <row r="52" spans="1:66" x14ac:dyDescent="0.25">
      <c r="A52" s="79" t="s">
        <v>372</v>
      </c>
      <c r="B52" t="s">
        <v>373</v>
      </c>
      <c r="C52" s="72" t="s">
        <v>522</v>
      </c>
      <c r="D52" s="72" t="s">
        <v>522</v>
      </c>
      <c r="E52" s="72" t="s">
        <v>522</v>
      </c>
      <c r="F52" s="72" t="s">
        <v>522</v>
      </c>
      <c r="G52" s="72" t="s">
        <v>549</v>
      </c>
      <c r="H52" s="72" t="s">
        <v>515</v>
      </c>
      <c r="I52" s="72" t="s">
        <v>524</v>
      </c>
      <c r="J52" s="72" t="s">
        <v>524</v>
      </c>
      <c r="K52" s="72" t="s">
        <v>79</v>
      </c>
      <c r="L52" s="61">
        <v>1.0083</v>
      </c>
      <c r="M52" s="72"/>
      <c r="N52" s="72"/>
      <c r="O52" s="72"/>
      <c r="P52" s="72"/>
      <c r="R52">
        <v>1</v>
      </c>
      <c r="S52">
        <v>0</v>
      </c>
      <c r="T52">
        <v>0</v>
      </c>
      <c r="U52">
        <v>93</v>
      </c>
      <c r="V52">
        <v>71</v>
      </c>
      <c r="W52" s="61">
        <v>0</v>
      </c>
      <c r="X52" s="61">
        <v>0</v>
      </c>
      <c r="Y52">
        <v>0.1482</v>
      </c>
      <c r="Z52">
        <v>0</v>
      </c>
      <c r="AA52">
        <v>0</v>
      </c>
      <c r="AB52">
        <v>0</v>
      </c>
      <c r="AD52">
        <v>0</v>
      </c>
      <c r="AE52">
        <v>5.8999999999999998E-5</v>
      </c>
      <c r="AF52">
        <v>237.84</v>
      </c>
      <c r="AG52">
        <v>0.186</v>
      </c>
      <c r="AH52">
        <v>2.5000000000000001E-2</v>
      </c>
      <c r="AI52" s="61">
        <v>0</v>
      </c>
      <c r="AK52" s="61">
        <v>1642</v>
      </c>
      <c r="AL52" s="174">
        <v>1610.78</v>
      </c>
      <c r="AM52" s="118">
        <v>1.6755</v>
      </c>
      <c r="AN52" s="118">
        <v>1.6673</v>
      </c>
      <c r="AO52" s="174"/>
      <c r="AP52" s="118"/>
      <c r="AQ52" s="174">
        <v>1613.21</v>
      </c>
      <c r="AR52" s="118">
        <v>1.6757</v>
      </c>
      <c r="AS52" s="118">
        <v>1.6677999999999999</v>
      </c>
      <c r="AT52" s="174"/>
      <c r="AU52" s="118"/>
      <c r="AV52" s="61">
        <v>1.0056764320069</v>
      </c>
      <c r="AW52">
        <v>1</v>
      </c>
      <c r="AX52">
        <v>3.7010000000000001E-2</v>
      </c>
      <c r="AY52">
        <v>8.5669999999999996E-2</v>
      </c>
      <c r="AZ52">
        <v>0.25979000000000002</v>
      </c>
      <c r="BA52">
        <v>0.1348</v>
      </c>
      <c r="BB52">
        <v>1</v>
      </c>
      <c r="BC52">
        <v>0.99985000000000002</v>
      </c>
      <c r="BD52" s="74">
        <v>0.99950000000000006</v>
      </c>
      <c r="BE52" s="79" t="s">
        <v>517</v>
      </c>
      <c r="BF52" s="79" t="s">
        <v>517</v>
      </c>
      <c r="BG52" s="72" t="s">
        <v>280</v>
      </c>
      <c r="BH52" s="72"/>
      <c r="BI52"/>
      <c r="BJ52">
        <v>1</v>
      </c>
      <c r="BK52" s="61" t="str">
        <f t="shared" si="0"/>
        <v>00</v>
      </c>
      <c r="BL52" s="61" t="s">
        <v>518</v>
      </c>
      <c r="BM52" s="61">
        <v>0.99980000000000002</v>
      </c>
      <c r="BN52" s="146">
        <v>1.0119952536000001</v>
      </c>
    </row>
    <row r="53" spans="1:66" x14ac:dyDescent="0.25">
      <c r="A53" s="235" t="s">
        <v>374</v>
      </c>
      <c r="B53" t="s">
        <v>552</v>
      </c>
      <c r="C53" s="72"/>
      <c r="D53" s="72"/>
      <c r="E53" s="72"/>
      <c r="F53" s="72"/>
      <c r="G53" s="72"/>
      <c r="H53" s="72"/>
      <c r="I53" s="72"/>
      <c r="J53" s="72"/>
      <c r="K53" s="72"/>
      <c r="L53" s="61" t="s">
        <v>377</v>
      </c>
      <c r="M53" s="61" t="s">
        <v>377</v>
      </c>
      <c r="N53" s="61" t="s">
        <v>377</v>
      </c>
      <c r="O53" s="61" t="s">
        <v>377</v>
      </c>
      <c r="P53" s="61" t="s">
        <v>377</v>
      </c>
      <c r="Q53" s="61" t="s">
        <v>377</v>
      </c>
      <c r="R53" s="61" t="s">
        <v>377</v>
      </c>
      <c r="S53" s="61" t="s">
        <v>377</v>
      </c>
      <c r="T53" s="61" t="s">
        <v>377</v>
      </c>
      <c r="U53" s="61" t="s">
        <v>377</v>
      </c>
      <c r="V53" s="61" t="s">
        <v>377</v>
      </c>
      <c r="W53" s="61" t="s">
        <v>377</v>
      </c>
      <c r="X53" s="61" t="s">
        <v>377</v>
      </c>
      <c r="Y53" s="61" t="s">
        <v>377</v>
      </c>
      <c r="Z53" s="61" t="s">
        <v>377</v>
      </c>
      <c r="AA53" s="61" t="s">
        <v>377</v>
      </c>
      <c r="AB53" s="61" t="s">
        <v>377</v>
      </c>
      <c r="AC53" s="61" t="s">
        <v>377</v>
      </c>
      <c r="AD53" s="61" t="s">
        <v>377</v>
      </c>
      <c r="AE53" s="61" t="s">
        <v>377</v>
      </c>
      <c r="AF53" s="61" t="s">
        <v>377</v>
      </c>
      <c r="AG53" s="61" t="s">
        <v>377</v>
      </c>
      <c r="AH53" s="61" t="s">
        <v>377</v>
      </c>
      <c r="AI53" s="61" t="s">
        <v>377</v>
      </c>
      <c r="AJ53" s="61" t="s">
        <v>377</v>
      </c>
      <c r="AK53" s="61" t="s">
        <v>377</v>
      </c>
      <c r="AL53" s="61" t="s">
        <v>377</v>
      </c>
      <c r="AM53" s="61" t="s">
        <v>377</v>
      </c>
      <c r="AN53" s="61" t="s">
        <v>377</v>
      </c>
      <c r="AO53" s="61" t="s">
        <v>377</v>
      </c>
      <c r="AP53" s="61" t="s">
        <v>377</v>
      </c>
      <c r="AQ53" s="61" t="s">
        <v>377</v>
      </c>
      <c r="AR53" s="61" t="s">
        <v>377</v>
      </c>
      <c r="AS53" s="61" t="s">
        <v>377</v>
      </c>
      <c r="AT53" s="61" t="s">
        <v>377</v>
      </c>
      <c r="AU53" s="61" t="s">
        <v>377</v>
      </c>
      <c r="AV53" s="61" t="s">
        <v>377</v>
      </c>
      <c r="AW53" s="61" t="s">
        <v>377</v>
      </c>
      <c r="AX53" s="61" t="s">
        <v>377</v>
      </c>
      <c r="AY53" s="61" t="s">
        <v>377</v>
      </c>
      <c r="AZ53" s="61" t="s">
        <v>377</v>
      </c>
      <c r="BA53" s="61" t="s">
        <v>377</v>
      </c>
      <c r="BB53" s="61" t="s">
        <v>377</v>
      </c>
      <c r="BC53" s="61" t="s">
        <v>377</v>
      </c>
      <c r="BD53" s="61" t="s">
        <v>377</v>
      </c>
      <c r="BE53" s="61" t="s">
        <v>377</v>
      </c>
      <c r="BF53" s="61" t="s">
        <v>377</v>
      </c>
      <c r="BG53" s="61" t="s">
        <v>377</v>
      </c>
      <c r="BH53" s="61" t="s">
        <v>377</v>
      </c>
      <c r="BI53" s="61" t="s">
        <v>377</v>
      </c>
      <c r="BJ53" s="61" t="s">
        <v>377</v>
      </c>
      <c r="BK53" s="61" t="s">
        <v>377</v>
      </c>
      <c r="BL53" s="61" t="s">
        <v>518</v>
      </c>
      <c r="BM53" s="61" t="s">
        <v>377</v>
      </c>
      <c r="BN53" s="61" t="s">
        <v>377</v>
      </c>
    </row>
    <row r="54" spans="1:66" x14ac:dyDescent="0.25">
      <c r="A54" s="235"/>
      <c r="C54" s="72"/>
      <c r="D54" s="72"/>
      <c r="E54" s="72"/>
      <c r="F54" s="72"/>
      <c r="G54" s="72"/>
      <c r="H54" s="72"/>
      <c r="I54" s="72"/>
      <c r="J54" s="72"/>
      <c r="K54" s="72"/>
      <c r="M54" s="61"/>
      <c r="N54" s="61"/>
      <c r="O54" s="61"/>
      <c r="P54" s="61"/>
      <c r="Q54" s="61"/>
      <c r="R54" s="61"/>
      <c r="S54" s="61"/>
      <c r="T54" s="61"/>
      <c r="U54" s="61"/>
      <c r="V54" s="61"/>
      <c r="Y54" s="61"/>
      <c r="Z54" s="61"/>
      <c r="AA54" s="61"/>
      <c r="AB54" s="61"/>
      <c r="AC54" s="61"/>
      <c r="AD54" s="61"/>
      <c r="AE54" s="61"/>
      <c r="AF54" s="61"/>
      <c r="AG54" s="61"/>
      <c r="AH54" s="61"/>
      <c r="AW54" s="61"/>
      <c r="AX54" s="61"/>
      <c r="AY54" s="61"/>
      <c r="AZ54" s="61"/>
      <c r="BA54" s="61"/>
      <c r="BB54" s="61"/>
      <c r="BC54" s="61"/>
      <c r="BD54" s="61"/>
      <c r="BM54" s="61"/>
      <c r="BN54" s="61"/>
    </row>
    <row r="55" spans="1:66" x14ac:dyDescent="0.25">
      <c r="A55" s="61">
        <v>1</v>
      </c>
      <c r="B55" s="61">
        <v>2</v>
      </c>
      <c r="C55" s="61">
        <v>3</v>
      </c>
      <c r="D55" s="61">
        <v>4</v>
      </c>
      <c r="E55" s="61">
        <v>5</v>
      </c>
      <c r="F55" s="61">
        <v>6</v>
      </c>
      <c r="G55" s="61">
        <v>7</v>
      </c>
      <c r="H55" s="61">
        <v>8</v>
      </c>
      <c r="I55" s="61">
        <v>9</v>
      </c>
      <c r="J55" s="61">
        <v>10</v>
      </c>
      <c r="K55" s="61">
        <v>11</v>
      </c>
      <c r="L55" s="61">
        <v>12</v>
      </c>
      <c r="M55" s="61">
        <v>13</v>
      </c>
      <c r="N55" s="61">
        <v>14</v>
      </c>
      <c r="O55" s="61">
        <v>15</v>
      </c>
      <c r="P55" s="61">
        <v>16</v>
      </c>
      <c r="Q55" s="61">
        <v>17</v>
      </c>
      <c r="R55" s="61">
        <v>18</v>
      </c>
      <c r="S55" s="61">
        <v>19</v>
      </c>
      <c r="T55" s="61">
        <v>20</v>
      </c>
      <c r="U55" s="61">
        <v>21</v>
      </c>
      <c r="V55" s="61">
        <v>22</v>
      </c>
      <c r="W55" s="61">
        <v>23</v>
      </c>
      <c r="X55" s="61">
        <v>24</v>
      </c>
      <c r="Y55" s="61">
        <v>25</v>
      </c>
      <c r="Z55" s="61">
        <v>26</v>
      </c>
      <c r="AA55" s="61">
        <v>27</v>
      </c>
      <c r="AB55" s="61">
        <v>28</v>
      </c>
      <c r="AC55" s="61">
        <v>29</v>
      </c>
      <c r="AD55" s="61">
        <v>30</v>
      </c>
      <c r="AE55" s="61">
        <v>31</v>
      </c>
      <c r="AF55" s="61">
        <v>32</v>
      </c>
      <c r="AG55" s="61">
        <v>33</v>
      </c>
      <c r="AH55" s="61">
        <v>34</v>
      </c>
      <c r="AI55" s="61">
        <v>35</v>
      </c>
      <c r="AJ55" s="61">
        <v>36</v>
      </c>
      <c r="AK55" s="61">
        <v>37</v>
      </c>
      <c r="AL55" s="61">
        <v>38</v>
      </c>
      <c r="AM55" s="61">
        <v>39</v>
      </c>
      <c r="AN55" s="61">
        <v>40</v>
      </c>
      <c r="AO55" s="61">
        <v>41</v>
      </c>
      <c r="AP55" s="61">
        <v>42</v>
      </c>
      <c r="AQ55" s="61">
        <v>43</v>
      </c>
      <c r="AR55" s="61">
        <v>44</v>
      </c>
      <c r="AS55" s="61">
        <v>45</v>
      </c>
      <c r="AT55" s="61">
        <v>46</v>
      </c>
      <c r="AU55" s="61">
        <v>47</v>
      </c>
      <c r="AV55" s="61">
        <v>48</v>
      </c>
      <c r="AW55" s="61">
        <v>49</v>
      </c>
      <c r="AX55" s="61">
        <v>50</v>
      </c>
      <c r="AY55" s="61">
        <v>51</v>
      </c>
      <c r="AZ55" s="61">
        <v>52</v>
      </c>
      <c r="BA55" s="61">
        <v>53</v>
      </c>
      <c r="BB55" s="61">
        <v>54</v>
      </c>
      <c r="BC55" s="61">
        <v>55</v>
      </c>
      <c r="BD55" s="61">
        <v>56</v>
      </c>
      <c r="BE55" s="61">
        <v>57</v>
      </c>
      <c r="BF55" s="61">
        <v>58</v>
      </c>
      <c r="BG55" s="61">
        <v>59</v>
      </c>
      <c r="BH55" s="61">
        <v>60</v>
      </c>
      <c r="BI55" s="61">
        <v>61</v>
      </c>
      <c r="BJ55" s="61">
        <v>62</v>
      </c>
      <c r="BK55" s="61">
        <v>63</v>
      </c>
      <c r="BL55" s="61">
        <v>64</v>
      </c>
      <c r="BM55" s="61">
        <v>65</v>
      </c>
      <c r="BN55" s="61">
        <v>66</v>
      </c>
    </row>
    <row r="56" spans="1:66" x14ac:dyDescent="0.25">
      <c r="BG56" s="79"/>
      <c r="BH56" s="79"/>
      <c r="BM56" s="115"/>
    </row>
    <row r="57" spans="1:66" x14ac:dyDescent="0.25">
      <c r="BG57" s="79"/>
      <c r="BH57" s="79"/>
      <c r="BM57" s="115"/>
    </row>
    <row r="58" spans="1:66" x14ac:dyDescent="0.25">
      <c r="BG58" s="79"/>
      <c r="BH58" s="79"/>
      <c r="BM58" s="115"/>
    </row>
    <row r="59" spans="1:66" x14ac:dyDescent="0.25">
      <c r="BG59" s="79"/>
      <c r="BH59" s="79"/>
      <c r="BM59" s="115"/>
    </row>
    <row r="60" spans="1:66" x14ac:dyDescent="0.25">
      <c r="BG60" s="79"/>
      <c r="BH60" s="79"/>
      <c r="BM60" s="115"/>
    </row>
    <row r="61" spans="1:66" x14ac:dyDescent="0.25">
      <c r="BM61" s="115"/>
    </row>
    <row r="62" spans="1:66" x14ac:dyDescent="0.25">
      <c r="BM62" s="115"/>
    </row>
    <row r="63" spans="1:66" x14ac:dyDescent="0.25">
      <c r="BM63" s="115"/>
    </row>
    <row r="64" spans="1:66" x14ac:dyDescent="0.25">
      <c r="BM64" s="115"/>
    </row>
    <row r="65" spans="65:65" x14ac:dyDescent="0.25">
      <c r="BM65" s="115"/>
    </row>
    <row r="66" spans="65:65" x14ac:dyDescent="0.25">
      <c r="BM66" s="115"/>
    </row>
    <row r="67" spans="65:65" x14ac:dyDescent="0.25">
      <c r="BM67" s="115"/>
    </row>
    <row r="68" spans="65:65" x14ac:dyDescent="0.25">
      <c r="BM68" s="115"/>
    </row>
    <row r="69" spans="65:65" x14ac:dyDescent="0.25">
      <c r="BM69" s="115"/>
    </row>
    <row r="70" spans="65:65" x14ac:dyDescent="0.25">
      <c r="BM70" s="115"/>
    </row>
    <row r="71" spans="65:65" x14ac:dyDescent="0.25">
      <c r="BM71" s="115"/>
    </row>
    <row r="72" spans="65:65" x14ac:dyDescent="0.25">
      <c r="BM72" s="115"/>
    </row>
    <row r="73" spans="65:65" x14ac:dyDescent="0.25">
      <c r="BM73" s="97"/>
    </row>
    <row r="74" spans="65:65" x14ac:dyDescent="0.25">
      <c r="BM74" s="97"/>
    </row>
    <row r="75" spans="65:65" x14ac:dyDescent="0.25">
      <c r="BM75" s="97"/>
    </row>
    <row r="76" spans="65:65" x14ac:dyDescent="0.25">
      <c r="BM76" s="97"/>
    </row>
    <row r="77" spans="65:65" x14ac:dyDescent="0.25">
      <c r="BM77" s="116"/>
    </row>
    <row r="78" spans="65:65" x14ac:dyDescent="0.25">
      <c r="BM78" s="116"/>
    </row>
    <row r="79" spans="65:65" x14ac:dyDescent="0.25">
      <c r="BM79" s="116"/>
    </row>
    <row r="80" spans="65:65" x14ac:dyDescent="0.25">
      <c r="BM80" s="116"/>
    </row>
    <row r="81" spans="65:65" x14ac:dyDescent="0.25">
      <c r="BM81" s="117"/>
    </row>
    <row r="82" spans="65:65" x14ac:dyDescent="0.25">
      <c r="BM82" s="116"/>
    </row>
    <row r="83" spans="65:65" x14ac:dyDescent="0.25">
      <c r="BM83" s="116"/>
    </row>
    <row r="84" spans="65:65" x14ac:dyDescent="0.25">
      <c r="BM84" s="116"/>
    </row>
    <row r="85" spans="65:65" x14ac:dyDescent="0.25">
      <c r="BM85" s="116"/>
    </row>
    <row r="86" spans="65:65" x14ac:dyDescent="0.25">
      <c r="BM86" s="116"/>
    </row>
  </sheetData>
  <autoFilter ref="A2:BN53" xr:uid="{390E95B3-BEA7-4B9B-83C2-B5A72D92D5EA}"/>
  <hyperlinks>
    <hyperlink ref="BN2" r:id="rId1" display="https://www.cms.gov/medicare/payment/prospective-payment-systems/acute-inpatient-pps/fy-2025-ipps-final-rule-home-page" xr:uid="{C53BDC1F-16CB-4AE1-AAE5-BF989D471D3E}"/>
    <hyperlink ref="BM2" r:id="rId2" display="https://www.cms.gov/medicare/payment/prospective-payment-systems/acute-inpatient-pps/fy-2025-ipps-final-rule-home-page" xr:uid="{9A7E42F4-2408-451E-8E6B-BEED6D2266A4}"/>
    <hyperlink ref="BK2" location="'FY 2025 IFC Table 1A-1E'!A16" display="'FY 2025 IFC Table 1A-1E'!A16" xr:uid="{7BB5F436-3A5C-4E5E-9B6A-50E1A25F2407}"/>
    <hyperlink ref="BL2" r:id="rId3" display="https://data.cms.gov/provider-data/archived-data/hospitals" xr:uid="{41C3D4DF-BDAE-4021-B402-DBDF8BA6647D}"/>
  </hyperlinks>
  <pageMargins left="0.7" right="0.7" top="0.75" bottom="0.75" header="0.3" footer="0.3"/>
  <pageSetup orientation="portrait" horizontalDpi="1200" verticalDpi="1200" r:id="rId4"/>
  <drawing r:id="rId5"/>
  <legacy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44D0C-FEE5-4E7C-A05F-727883E3DEB9}">
  <sheetPr>
    <tabColor theme="9" tint="0.59999389629810485"/>
  </sheetPr>
  <dimension ref="A1:BL357"/>
  <sheetViews>
    <sheetView zoomScaleNormal="100" workbookViewId="0">
      <selection activeCell="A13" sqref="A13:H13"/>
    </sheetView>
  </sheetViews>
  <sheetFormatPr defaultColWidth="9.28515625" defaultRowHeight="15" x14ac:dyDescent="0.25"/>
  <cols>
    <col min="1" max="1" width="26.85546875" style="144" customWidth="1"/>
    <col min="2" max="2" width="26.7109375" style="144" customWidth="1"/>
    <col min="3" max="3" width="23.140625" style="144" customWidth="1"/>
    <col min="4" max="4" width="26.42578125" style="144" customWidth="1"/>
    <col min="5" max="5" width="25" style="144" customWidth="1"/>
    <col min="6" max="6" width="24.140625" style="144" customWidth="1"/>
    <col min="7" max="7" width="26.140625" style="144" customWidth="1"/>
    <col min="8" max="8" width="22.85546875" style="144" customWidth="1"/>
    <col min="9" max="9" width="11.28515625" style="435" customWidth="1"/>
    <col min="10" max="10" width="13" style="435" customWidth="1"/>
    <col min="11" max="64" width="9.28515625" style="435"/>
    <col min="65" max="16384" width="9.28515625" style="144"/>
  </cols>
  <sheetData>
    <row r="1" spans="1:15" ht="18" x14ac:dyDescent="0.25">
      <c r="A1" s="381" t="s">
        <v>553</v>
      </c>
      <c r="B1" s="381"/>
      <c r="C1" s="381"/>
      <c r="D1" s="381"/>
      <c r="E1" s="382"/>
      <c r="F1" s="383"/>
      <c r="G1" s="435"/>
      <c r="H1" s="435"/>
    </row>
    <row r="2" spans="1:15" x14ac:dyDescent="0.25">
      <c r="A2" s="544"/>
      <c r="B2" s="64" t="s">
        <v>554</v>
      </c>
      <c r="C2" s="64" t="s">
        <v>554</v>
      </c>
      <c r="D2" s="63" t="s">
        <v>555</v>
      </c>
      <c r="E2" s="435"/>
      <c r="F2" s="435"/>
      <c r="G2" s="435"/>
      <c r="H2" s="435"/>
    </row>
    <row r="3" spans="1:15" ht="30" x14ac:dyDescent="0.25">
      <c r="A3" s="545"/>
      <c r="B3" s="64" t="s">
        <v>556</v>
      </c>
      <c r="C3" s="64" t="s">
        <v>557</v>
      </c>
      <c r="D3" s="99" t="s">
        <v>558</v>
      </c>
      <c r="E3" s="435"/>
      <c r="F3" s="435"/>
      <c r="G3" s="435"/>
      <c r="H3" s="435"/>
    </row>
    <row r="4" spans="1:15" x14ac:dyDescent="0.25">
      <c r="A4" s="65" t="s">
        <v>559</v>
      </c>
      <c r="B4" s="66">
        <f>A18</f>
        <v>4478.09</v>
      </c>
      <c r="C4" s="66">
        <f>A23</f>
        <v>4107.12</v>
      </c>
      <c r="D4" s="246">
        <f>C4</f>
        <v>4107.12</v>
      </c>
      <c r="E4" s="435"/>
      <c r="F4" s="435"/>
      <c r="G4" s="435"/>
      <c r="H4" s="435"/>
    </row>
    <row r="5" spans="1:15" x14ac:dyDescent="0.25">
      <c r="A5" s="65" t="s">
        <v>560</v>
      </c>
      <c r="B5" s="66">
        <f>B18</f>
        <v>2146.3000000000002</v>
      </c>
      <c r="C5" s="66">
        <f>B23</f>
        <v>2517.27</v>
      </c>
      <c r="D5" s="246">
        <f>C5</f>
        <v>2517.27</v>
      </c>
      <c r="E5" s="437"/>
      <c r="F5" s="435"/>
      <c r="G5" s="435"/>
      <c r="H5" s="435"/>
    </row>
    <row r="6" spans="1:15" x14ac:dyDescent="0.25">
      <c r="A6" s="65" t="s">
        <v>561</v>
      </c>
      <c r="B6" s="67">
        <f>B33</f>
        <v>512.14</v>
      </c>
      <c r="C6" s="67">
        <f>B33</f>
        <v>512.14</v>
      </c>
      <c r="D6" s="67">
        <f>C6</f>
        <v>512.14</v>
      </c>
      <c r="E6" s="435"/>
      <c r="F6" s="435"/>
      <c r="G6" s="435"/>
      <c r="H6" s="435"/>
    </row>
    <row r="7" spans="1:15" x14ac:dyDescent="0.25">
      <c r="A7" s="68" t="s">
        <v>562</v>
      </c>
      <c r="B7" s="69">
        <f>SUM(B4:B6)</f>
        <v>7136.5300000000007</v>
      </c>
      <c r="C7" s="69">
        <f t="shared" ref="C7:D7" si="0">SUM(C4:C6)</f>
        <v>7136.53</v>
      </c>
      <c r="D7" s="69">
        <f t="shared" si="0"/>
        <v>7136.53</v>
      </c>
      <c r="E7" s="435"/>
      <c r="F7" s="435"/>
      <c r="G7" s="435"/>
      <c r="H7" s="435"/>
    </row>
    <row r="8" spans="1:15" x14ac:dyDescent="0.25">
      <c r="A8" s="145"/>
      <c r="B8" s="145"/>
      <c r="C8" s="145"/>
      <c r="D8" s="145"/>
      <c r="E8" s="435"/>
      <c r="F8" s="435"/>
      <c r="G8" s="435"/>
      <c r="H8" s="435"/>
    </row>
    <row r="9" spans="1:15" x14ac:dyDescent="0.25">
      <c r="A9" s="377" t="s">
        <v>563</v>
      </c>
      <c r="B9" s="378"/>
      <c r="C9" s="378"/>
      <c r="D9" s="378"/>
      <c r="E9" s="375"/>
      <c r="F9" s="375"/>
      <c r="G9" s="375"/>
      <c r="H9" s="375"/>
      <c r="I9" s="375"/>
      <c r="J9" s="375"/>
      <c r="K9" s="375"/>
      <c r="L9" s="375"/>
      <c r="M9" s="375"/>
      <c r="N9" s="375"/>
    </row>
    <row r="10" spans="1:15" x14ac:dyDescent="0.25">
      <c r="A10" s="379" t="s">
        <v>564</v>
      </c>
      <c r="B10" s="380"/>
      <c r="C10" s="380"/>
      <c r="D10" s="380"/>
      <c r="E10" s="376"/>
      <c r="F10" s="376"/>
      <c r="G10" s="376"/>
      <c r="H10" s="376"/>
      <c r="I10" s="376"/>
      <c r="J10" s="376"/>
      <c r="K10" s="376"/>
      <c r="L10" s="376"/>
      <c r="M10" s="376"/>
    </row>
    <row r="11" spans="1:15" s="435" customFormat="1" x14ac:dyDescent="0.25"/>
    <row r="12" spans="1:15" s="435" customFormat="1" ht="18.75" x14ac:dyDescent="0.3">
      <c r="A12" s="440" t="s">
        <v>565</v>
      </c>
    </row>
    <row r="13" spans="1:15" ht="19.5" customHeight="1" x14ac:dyDescent="0.3">
      <c r="A13" s="408" t="s">
        <v>566</v>
      </c>
      <c r="B13" s="409"/>
      <c r="C13" s="409"/>
      <c r="D13" s="409"/>
      <c r="E13" s="409"/>
      <c r="F13" s="409"/>
      <c r="G13" s="409"/>
      <c r="H13" s="410"/>
    </row>
    <row r="14" spans="1:15" x14ac:dyDescent="0.25">
      <c r="A14" s="405" t="s">
        <v>567</v>
      </c>
      <c r="B14" s="406"/>
      <c r="C14" s="406"/>
      <c r="D14" s="406"/>
      <c r="E14" s="406"/>
      <c r="F14" s="406"/>
      <c r="G14" s="406"/>
      <c r="H14" s="407"/>
    </row>
    <row r="15" spans="1:15" ht="57.75" customHeight="1" x14ac:dyDescent="0.25">
      <c r="A15" s="417" t="s">
        <v>568</v>
      </c>
      <c r="B15" s="417" t="s">
        <v>568</v>
      </c>
      <c r="C15" s="185" t="s">
        <v>569</v>
      </c>
      <c r="D15" s="185" t="s">
        <v>569</v>
      </c>
      <c r="E15" s="403" t="s">
        <v>570</v>
      </c>
      <c r="F15" s="403" t="s">
        <v>570</v>
      </c>
      <c r="G15" s="404" t="s">
        <v>571</v>
      </c>
      <c r="H15" s="404" t="s">
        <v>571</v>
      </c>
      <c r="J15" s="436"/>
      <c r="K15" s="436"/>
      <c r="L15" s="436"/>
      <c r="M15" s="436"/>
      <c r="N15" s="436"/>
      <c r="O15" s="436"/>
    </row>
    <row r="16" spans="1:15" ht="58.5" customHeight="1" x14ac:dyDescent="0.25">
      <c r="A16" s="415" t="s">
        <v>572</v>
      </c>
      <c r="B16" s="415" t="s">
        <v>572</v>
      </c>
      <c r="C16" s="411" t="s">
        <v>573</v>
      </c>
      <c r="D16" s="411" t="s">
        <v>573</v>
      </c>
      <c r="E16" s="412" t="s">
        <v>574</v>
      </c>
      <c r="F16" s="412" t="s">
        <v>574</v>
      </c>
      <c r="G16" s="413" t="s">
        <v>575</v>
      </c>
      <c r="H16" s="413" t="s">
        <v>575</v>
      </c>
    </row>
    <row r="17" spans="1:8" x14ac:dyDescent="0.25">
      <c r="A17" s="416" t="s">
        <v>576</v>
      </c>
      <c r="B17" s="416" t="s">
        <v>577</v>
      </c>
      <c r="C17" s="414" t="s">
        <v>576</v>
      </c>
      <c r="D17" s="414" t="s">
        <v>577</v>
      </c>
      <c r="E17" s="419" t="s">
        <v>576</v>
      </c>
      <c r="F17" s="419" t="s">
        <v>577</v>
      </c>
      <c r="G17" s="418" t="s">
        <v>576</v>
      </c>
      <c r="H17" s="418" t="s">
        <v>577</v>
      </c>
    </row>
    <row r="18" spans="1:8" ht="19.5" customHeight="1" x14ac:dyDescent="0.25">
      <c r="A18" s="391">
        <v>4478.09</v>
      </c>
      <c r="B18" s="391">
        <v>2146.3000000000002</v>
      </c>
      <c r="C18" s="391">
        <v>4367.12</v>
      </c>
      <c r="D18" s="391">
        <v>2093.11</v>
      </c>
      <c r="E18" s="391">
        <v>4441.1000000000004</v>
      </c>
      <c r="F18" s="391">
        <v>2128.5700000000002</v>
      </c>
      <c r="G18" s="391">
        <v>4330.13</v>
      </c>
      <c r="H18" s="391">
        <v>2075.38</v>
      </c>
    </row>
    <row r="19" spans="1:8" x14ac:dyDescent="0.25">
      <c r="A19" s="154"/>
      <c r="B19" s="154"/>
      <c r="C19" s="154"/>
      <c r="D19" s="154"/>
      <c r="E19" s="154"/>
      <c r="F19" s="154"/>
      <c r="G19" s="154"/>
      <c r="H19" s="154"/>
    </row>
    <row r="20" spans="1:8" x14ac:dyDescent="0.25">
      <c r="A20" s="405" t="s">
        <v>578</v>
      </c>
      <c r="B20" s="406"/>
      <c r="C20" s="406"/>
      <c r="D20" s="406"/>
      <c r="E20" s="406"/>
      <c r="F20" s="406"/>
      <c r="G20" s="406"/>
      <c r="H20" s="407"/>
    </row>
    <row r="21" spans="1:8" ht="57" customHeight="1" x14ac:dyDescent="0.25">
      <c r="A21" s="420" t="s">
        <v>572</v>
      </c>
      <c r="B21" s="420" t="s">
        <v>572</v>
      </c>
      <c r="C21" s="421" t="s">
        <v>573</v>
      </c>
      <c r="D21" s="421" t="s">
        <v>573</v>
      </c>
      <c r="E21" s="422" t="s">
        <v>574</v>
      </c>
      <c r="F21" s="422" t="s">
        <v>574</v>
      </c>
      <c r="G21" s="423" t="s">
        <v>575</v>
      </c>
      <c r="H21" s="423" t="s">
        <v>575</v>
      </c>
    </row>
    <row r="22" spans="1:8" x14ac:dyDescent="0.25">
      <c r="A22" s="416" t="s">
        <v>576</v>
      </c>
      <c r="B22" s="416" t="s">
        <v>577</v>
      </c>
      <c r="C22" s="414" t="s">
        <v>576</v>
      </c>
      <c r="D22" s="414" t="s">
        <v>577</v>
      </c>
      <c r="E22" s="419" t="s">
        <v>576</v>
      </c>
      <c r="F22" s="419" t="s">
        <v>577</v>
      </c>
      <c r="G22" s="418" t="s">
        <v>576</v>
      </c>
      <c r="H22" s="418" t="s">
        <v>577</v>
      </c>
    </row>
    <row r="23" spans="1:8" ht="18.75" customHeight="1" x14ac:dyDescent="0.25">
      <c r="A23" s="391">
        <v>4107.12</v>
      </c>
      <c r="B23" s="391">
        <v>2517.27</v>
      </c>
      <c r="C23" s="391">
        <v>4005.34</v>
      </c>
      <c r="D23" s="391">
        <v>2454.89</v>
      </c>
      <c r="E23" s="391">
        <v>4073.2</v>
      </c>
      <c r="F23" s="391">
        <v>2496.4699999999998</v>
      </c>
      <c r="G23" s="391">
        <v>3971.42</v>
      </c>
      <c r="H23" s="391">
        <v>2434.09</v>
      </c>
    </row>
    <row r="24" spans="1:8" x14ac:dyDescent="0.25">
      <c r="A24" s="155"/>
      <c r="B24" s="155"/>
      <c r="C24" s="155"/>
      <c r="D24" s="154"/>
      <c r="E24" s="154"/>
      <c r="F24" s="154"/>
      <c r="G24" s="154"/>
      <c r="H24" s="154"/>
    </row>
    <row r="25" spans="1:8" x14ac:dyDescent="0.25">
      <c r="A25" s="384" t="s">
        <v>579</v>
      </c>
      <c r="B25" s="385"/>
      <c r="C25" s="385"/>
      <c r="D25" s="385"/>
      <c r="E25" s="385"/>
      <c r="F25" s="385"/>
      <c r="G25" s="385"/>
      <c r="H25" s="386"/>
    </row>
    <row r="26" spans="1:8" ht="82.5" customHeight="1" x14ac:dyDescent="0.25">
      <c r="A26" s="157"/>
      <c r="B26" s="430" t="s">
        <v>580</v>
      </c>
      <c r="C26" s="430" t="s">
        <v>581</v>
      </c>
      <c r="D26" s="428" t="s">
        <v>582</v>
      </c>
      <c r="E26" s="428" t="s">
        <v>582</v>
      </c>
      <c r="F26" s="429" t="s">
        <v>583</v>
      </c>
      <c r="G26" s="429" t="s">
        <v>583</v>
      </c>
      <c r="H26" s="438"/>
    </row>
    <row r="27" spans="1:8" x14ac:dyDescent="0.25">
      <c r="A27" s="157"/>
      <c r="B27" s="424" t="s">
        <v>584</v>
      </c>
      <c r="C27" s="425" t="s">
        <v>585</v>
      </c>
      <c r="D27" s="426" t="s">
        <v>584</v>
      </c>
      <c r="E27" s="426" t="s">
        <v>585</v>
      </c>
      <c r="F27" s="427" t="s">
        <v>584</v>
      </c>
      <c r="G27" s="427" t="s">
        <v>585</v>
      </c>
      <c r="H27" s="438"/>
    </row>
    <row r="28" spans="1:8" ht="19.5" customHeight="1" x14ac:dyDescent="0.25">
      <c r="A28" s="431" t="s">
        <v>586</v>
      </c>
      <c r="B28" s="390" t="s">
        <v>587</v>
      </c>
      <c r="C28" s="432" t="s">
        <v>587</v>
      </c>
      <c r="D28" s="391">
        <v>4107.12</v>
      </c>
      <c r="E28" s="391">
        <v>2517.27</v>
      </c>
      <c r="F28" s="391">
        <v>4005.34</v>
      </c>
      <c r="G28" s="391">
        <v>2454.89</v>
      </c>
      <c r="H28" s="438"/>
    </row>
    <row r="29" spans="1:8" ht="14.25" customHeight="1" x14ac:dyDescent="0.25">
      <c r="A29" s="434" t="s">
        <v>588</v>
      </c>
      <c r="B29" s="434"/>
      <c r="C29" s="434"/>
      <c r="D29" s="434"/>
      <c r="E29" s="439"/>
      <c r="F29" s="435"/>
      <c r="G29" s="435"/>
      <c r="H29" s="438"/>
    </row>
    <row r="30" spans="1:8" x14ac:dyDescent="0.25">
      <c r="A30" s="156"/>
      <c r="B30" s="156"/>
      <c r="C30" s="156"/>
      <c r="D30" s="435"/>
      <c r="E30" s="435"/>
      <c r="F30" s="435"/>
      <c r="G30" s="435"/>
      <c r="H30" s="438"/>
    </row>
    <row r="31" spans="1:8" ht="18.75" customHeight="1" x14ac:dyDescent="0.25">
      <c r="A31" s="392" t="s">
        <v>589</v>
      </c>
      <c r="B31" s="388"/>
      <c r="C31" s="388"/>
      <c r="D31" s="435"/>
      <c r="E31" s="435"/>
      <c r="F31" s="435"/>
      <c r="G31" s="435"/>
      <c r="H31" s="438"/>
    </row>
    <row r="32" spans="1:8" x14ac:dyDescent="0.25">
      <c r="A32" s="158"/>
      <c r="B32" s="426" t="s">
        <v>590</v>
      </c>
      <c r="C32" s="435"/>
      <c r="D32" s="435"/>
      <c r="E32" s="435"/>
      <c r="F32" s="435"/>
      <c r="G32" s="435"/>
      <c r="H32" s="438"/>
    </row>
    <row r="33" spans="1:8" ht="18" customHeight="1" x14ac:dyDescent="0.25">
      <c r="A33" s="157" t="s">
        <v>591</v>
      </c>
      <c r="B33" s="196">
        <v>512.14</v>
      </c>
      <c r="C33" s="435"/>
      <c r="D33" s="435"/>
      <c r="E33" s="435"/>
      <c r="F33" s="435"/>
      <c r="G33" s="435"/>
      <c r="H33" s="438"/>
    </row>
    <row r="34" spans="1:8" x14ac:dyDescent="0.25">
      <c r="A34" s="371"/>
      <c r="B34" s="372"/>
      <c r="C34" s="372"/>
      <c r="D34" s="372"/>
      <c r="E34" s="372"/>
      <c r="F34" s="373"/>
      <c r="G34" s="435"/>
      <c r="H34" s="438"/>
    </row>
    <row r="35" spans="1:8" ht="21.75" customHeight="1" x14ac:dyDescent="0.25">
      <c r="A35" s="387" t="s">
        <v>592</v>
      </c>
      <c r="B35" s="388"/>
      <c r="C35" s="388"/>
      <c r="D35" s="388"/>
      <c r="E35" s="389"/>
      <c r="F35" s="389"/>
      <c r="G35" s="435"/>
      <c r="H35" s="438"/>
    </row>
    <row r="36" spans="1:8" ht="39" customHeight="1" x14ac:dyDescent="0.25">
      <c r="A36" s="433"/>
      <c r="B36" s="428" t="s">
        <v>593</v>
      </c>
      <c r="C36" s="428" t="s">
        <v>594</v>
      </c>
      <c r="D36" s="369"/>
      <c r="E36" s="435"/>
      <c r="F36" s="435"/>
      <c r="G36" s="435"/>
      <c r="H36" s="438"/>
    </row>
    <row r="37" spans="1:8" ht="24.75" customHeight="1" x14ac:dyDescent="0.25">
      <c r="A37" s="393" t="s">
        <v>595</v>
      </c>
      <c r="B37" s="390">
        <v>49383.26</v>
      </c>
      <c r="C37" s="390">
        <v>48424.36</v>
      </c>
      <c r="D37" s="370"/>
      <c r="E37" s="435"/>
      <c r="F37" s="435"/>
      <c r="G37" s="435"/>
      <c r="H37" s="438"/>
    </row>
    <row r="38" spans="1:8" x14ac:dyDescent="0.25">
      <c r="A38" s="435" t="s">
        <v>596</v>
      </c>
      <c r="B38" s="435"/>
      <c r="C38" s="435"/>
      <c r="D38" s="435"/>
      <c r="E38" s="435"/>
      <c r="F38" s="435"/>
      <c r="G38" s="435"/>
      <c r="H38" s="438"/>
    </row>
    <row r="39" spans="1:8" x14ac:dyDescent="0.25">
      <c r="A39" s="435"/>
      <c r="B39" s="435"/>
      <c r="C39" s="435"/>
      <c r="D39" s="435"/>
      <c r="E39" s="435"/>
      <c r="F39" s="435"/>
      <c r="G39" s="435"/>
      <c r="H39" s="435"/>
    </row>
    <row r="40" spans="1:8" x14ac:dyDescent="0.25">
      <c r="A40" s="435"/>
      <c r="B40" s="435"/>
      <c r="C40" s="435"/>
      <c r="D40" s="435"/>
      <c r="E40" s="435"/>
      <c r="F40" s="435"/>
      <c r="G40" s="435"/>
      <c r="H40" s="435"/>
    </row>
    <row r="41" spans="1:8" x14ac:dyDescent="0.25">
      <c r="A41" s="435"/>
      <c r="B41" s="435"/>
      <c r="C41" s="435"/>
      <c r="D41" s="435"/>
      <c r="E41" s="435"/>
      <c r="F41" s="435"/>
      <c r="G41" s="435"/>
      <c r="H41" s="435"/>
    </row>
    <row r="42" spans="1:8" x14ac:dyDescent="0.25">
      <c r="A42" s="435"/>
      <c r="B42" s="435"/>
      <c r="C42" s="435"/>
      <c r="D42" s="435"/>
      <c r="E42" s="435"/>
      <c r="F42" s="435"/>
      <c r="G42" s="435"/>
      <c r="H42" s="435"/>
    </row>
    <row r="43" spans="1:8" x14ac:dyDescent="0.25">
      <c r="A43" s="435"/>
      <c r="B43" s="435"/>
      <c r="C43" s="435"/>
      <c r="D43" s="435"/>
      <c r="E43" s="435"/>
      <c r="F43" s="435"/>
      <c r="G43" s="435"/>
      <c r="H43" s="435"/>
    </row>
    <row r="44" spans="1:8" x14ac:dyDescent="0.25">
      <c r="A44" s="435"/>
      <c r="B44" s="435"/>
      <c r="C44" s="435"/>
      <c r="D44" s="435"/>
      <c r="E44" s="435"/>
      <c r="F44" s="435"/>
      <c r="G44" s="435"/>
      <c r="H44" s="435"/>
    </row>
    <row r="45" spans="1:8" x14ac:dyDescent="0.25">
      <c r="A45" s="435"/>
      <c r="B45" s="435"/>
      <c r="C45" s="435"/>
      <c r="D45" s="435"/>
      <c r="E45" s="435"/>
      <c r="F45" s="435"/>
      <c r="G45" s="435"/>
      <c r="H45" s="435"/>
    </row>
    <row r="46" spans="1:8" x14ac:dyDescent="0.25">
      <c r="A46" s="435"/>
      <c r="B46" s="435"/>
      <c r="C46" s="435"/>
      <c r="D46" s="435"/>
      <c r="E46" s="435"/>
      <c r="F46" s="435"/>
      <c r="G46" s="435"/>
      <c r="H46" s="435"/>
    </row>
    <row r="47" spans="1:8" x14ac:dyDescent="0.25">
      <c r="A47" s="435"/>
      <c r="B47" s="435"/>
      <c r="C47" s="435"/>
      <c r="D47" s="435"/>
      <c r="E47" s="435"/>
      <c r="F47" s="435"/>
      <c r="G47" s="435"/>
      <c r="H47" s="435"/>
    </row>
    <row r="48" spans="1:8" x14ac:dyDescent="0.25">
      <c r="A48" s="435"/>
      <c r="B48" s="435"/>
      <c r="C48" s="435"/>
      <c r="D48" s="435"/>
      <c r="E48" s="435"/>
      <c r="F48" s="435"/>
      <c r="G48" s="435"/>
      <c r="H48" s="435"/>
    </row>
    <row r="49" spans="1:8" x14ac:dyDescent="0.25">
      <c r="A49" s="435"/>
      <c r="B49" s="435"/>
      <c r="C49" s="435"/>
      <c r="D49" s="435"/>
      <c r="E49" s="435"/>
      <c r="F49" s="435"/>
      <c r="G49" s="435"/>
      <c r="H49" s="435"/>
    </row>
    <row r="50" spans="1:8" x14ac:dyDescent="0.25">
      <c r="A50" s="435"/>
      <c r="B50" s="435"/>
      <c r="C50" s="435"/>
      <c r="D50" s="435"/>
      <c r="E50" s="435"/>
      <c r="F50" s="435"/>
      <c r="G50" s="435"/>
      <c r="H50" s="435"/>
    </row>
    <row r="51" spans="1:8" x14ac:dyDescent="0.25">
      <c r="A51" s="435"/>
      <c r="B51" s="435"/>
      <c r="C51" s="435"/>
      <c r="D51" s="435"/>
      <c r="E51" s="435"/>
      <c r="F51" s="435"/>
      <c r="G51" s="435"/>
      <c r="H51" s="435"/>
    </row>
    <row r="52" spans="1:8" x14ac:dyDescent="0.25">
      <c r="A52" s="435"/>
      <c r="B52" s="435"/>
      <c r="C52" s="435"/>
      <c r="D52" s="435"/>
      <c r="E52" s="435"/>
      <c r="F52" s="435"/>
      <c r="G52" s="435"/>
      <c r="H52" s="435"/>
    </row>
    <row r="53" spans="1:8" x14ac:dyDescent="0.25">
      <c r="A53" s="435"/>
      <c r="B53" s="435"/>
      <c r="C53" s="435"/>
      <c r="D53" s="435"/>
      <c r="E53" s="435"/>
      <c r="F53" s="435"/>
      <c r="G53" s="435"/>
      <c r="H53" s="435"/>
    </row>
    <row r="54" spans="1:8" x14ac:dyDescent="0.25">
      <c r="A54" s="435"/>
      <c r="B54" s="435"/>
      <c r="C54" s="435"/>
      <c r="D54" s="435"/>
      <c r="E54" s="435"/>
      <c r="F54" s="435"/>
      <c r="G54" s="435"/>
      <c r="H54" s="435"/>
    </row>
    <row r="55" spans="1:8" x14ac:dyDescent="0.25">
      <c r="A55" s="435"/>
      <c r="B55" s="435"/>
      <c r="C55" s="435"/>
      <c r="D55" s="435"/>
      <c r="E55" s="435"/>
      <c r="F55" s="435"/>
      <c r="G55" s="435"/>
      <c r="H55" s="435"/>
    </row>
    <row r="56" spans="1:8" x14ac:dyDescent="0.25">
      <c r="A56" s="435"/>
      <c r="B56" s="435"/>
      <c r="C56" s="435"/>
      <c r="D56" s="435"/>
      <c r="E56" s="435"/>
      <c r="F56" s="435"/>
      <c r="G56" s="435"/>
      <c r="H56" s="435"/>
    </row>
    <row r="57" spans="1:8" x14ac:dyDescent="0.25">
      <c r="A57" s="435"/>
      <c r="B57" s="435"/>
      <c r="C57" s="435"/>
      <c r="D57" s="435"/>
      <c r="E57" s="435"/>
      <c r="F57" s="435"/>
      <c r="G57" s="435"/>
      <c r="H57" s="435"/>
    </row>
    <row r="58" spans="1:8" x14ac:dyDescent="0.25">
      <c r="A58" s="435"/>
      <c r="B58" s="435"/>
      <c r="C58" s="435"/>
      <c r="D58" s="435"/>
      <c r="E58" s="435"/>
      <c r="F58" s="435"/>
      <c r="G58" s="435"/>
      <c r="H58" s="435"/>
    </row>
    <row r="59" spans="1:8" x14ac:dyDescent="0.25">
      <c r="A59" s="435"/>
      <c r="B59" s="435"/>
      <c r="C59" s="435"/>
      <c r="D59" s="435"/>
      <c r="E59" s="435"/>
      <c r="F59" s="435"/>
      <c r="G59" s="435"/>
      <c r="H59" s="435"/>
    </row>
    <row r="60" spans="1:8" x14ac:dyDescent="0.25">
      <c r="A60" s="435"/>
      <c r="B60" s="435"/>
      <c r="C60" s="435"/>
      <c r="D60" s="435"/>
      <c r="E60" s="435"/>
      <c r="F60" s="435"/>
      <c r="G60" s="435"/>
      <c r="H60" s="435"/>
    </row>
    <row r="61" spans="1:8" x14ac:dyDescent="0.25">
      <c r="A61" s="435"/>
      <c r="B61" s="435"/>
      <c r="C61" s="435"/>
      <c r="D61" s="435"/>
      <c r="E61" s="435"/>
      <c r="F61" s="435"/>
      <c r="G61" s="435"/>
      <c r="H61" s="435"/>
    </row>
    <row r="62" spans="1:8" x14ac:dyDescent="0.25">
      <c r="A62" s="435"/>
      <c r="B62" s="435"/>
      <c r="C62" s="435"/>
      <c r="D62" s="435"/>
      <c r="E62" s="435"/>
      <c r="F62" s="435"/>
      <c r="G62" s="435"/>
      <c r="H62" s="435"/>
    </row>
    <row r="63" spans="1:8" x14ac:dyDescent="0.25">
      <c r="A63" s="435"/>
      <c r="B63" s="435"/>
      <c r="C63" s="435"/>
      <c r="D63" s="435"/>
      <c r="E63" s="435"/>
      <c r="F63" s="435"/>
      <c r="G63" s="435"/>
      <c r="H63" s="435"/>
    </row>
    <row r="64" spans="1:8" x14ac:dyDescent="0.25">
      <c r="A64" s="435"/>
      <c r="B64" s="435"/>
      <c r="C64" s="435"/>
      <c r="D64" s="435"/>
      <c r="E64" s="435"/>
      <c r="F64" s="435"/>
      <c r="G64" s="435"/>
      <c r="H64" s="435"/>
    </row>
    <row r="65" spans="1:8" x14ac:dyDescent="0.25">
      <c r="A65" s="435"/>
      <c r="B65" s="435"/>
      <c r="C65" s="435"/>
      <c r="D65" s="435"/>
      <c r="E65" s="435"/>
      <c r="F65" s="435"/>
      <c r="G65" s="435"/>
      <c r="H65" s="435"/>
    </row>
    <row r="66" spans="1:8" x14ac:dyDescent="0.25">
      <c r="A66" s="435"/>
      <c r="B66" s="435"/>
      <c r="C66" s="435"/>
      <c r="D66" s="435"/>
      <c r="E66" s="435"/>
      <c r="F66" s="435"/>
      <c r="G66" s="435"/>
      <c r="H66" s="435"/>
    </row>
    <row r="67" spans="1:8" x14ac:dyDescent="0.25">
      <c r="A67" s="435"/>
      <c r="B67" s="435"/>
      <c r="C67" s="435"/>
      <c r="D67" s="435"/>
      <c r="E67" s="435"/>
      <c r="F67" s="435"/>
      <c r="G67" s="435"/>
      <c r="H67" s="435"/>
    </row>
    <row r="68" spans="1:8" x14ac:dyDescent="0.25">
      <c r="A68" s="435"/>
      <c r="B68" s="435"/>
      <c r="C68" s="435"/>
      <c r="D68" s="435"/>
      <c r="E68" s="435"/>
      <c r="F68" s="435"/>
      <c r="G68" s="435"/>
      <c r="H68" s="435"/>
    </row>
    <row r="69" spans="1:8" x14ac:dyDescent="0.25">
      <c r="A69" s="435"/>
      <c r="B69" s="435"/>
      <c r="C69" s="435"/>
      <c r="D69" s="435"/>
      <c r="E69" s="435"/>
      <c r="F69" s="435"/>
      <c r="G69" s="435"/>
      <c r="H69" s="435"/>
    </row>
    <row r="70" spans="1:8" x14ac:dyDescent="0.25">
      <c r="A70" s="435"/>
      <c r="B70" s="435"/>
      <c r="C70" s="435"/>
      <c r="D70" s="435"/>
      <c r="E70" s="435"/>
      <c r="F70" s="435"/>
      <c r="G70" s="435"/>
      <c r="H70" s="435"/>
    </row>
    <row r="71" spans="1:8" x14ac:dyDescent="0.25">
      <c r="A71" s="435"/>
      <c r="B71" s="435"/>
      <c r="C71" s="435"/>
      <c r="D71" s="435"/>
      <c r="E71" s="435"/>
      <c r="F71" s="435"/>
      <c r="G71" s="435"/>
      <c r="H71" s="435"/>
    </row>
    <row r="72" spans="1:8" x14ac:dyDescent="0.25">
      <c r="A72" s="435"/>
      <c r="B72" s="435"/>
      <c r="C72" s="435"/>
      <c r="D72" s="435"/>
      <c r="E72" s="435"/>
      <c r="F72" s="435"/>
      <c r="G72" s="435"/>
      <c r="H72" s="435"/>
    </row>
    <row r="73" spans="1:8" x14ac:dyDescent="0.25">
      <c r="A73" s="435"/>
      <c r="B73" s="435"/>
      <c r="C73" s="435"/>
      <c r="D73" s="435"/>
      <c r="E73" s="435"/>
      <c r="F73" s="435"/>
      <c r="G73" s="435"/>
      <c r="H73" s="435"/>
    </row>
    <row r="74" spans="1:8" x14ac:dyDescent="0.25">
      <c r="A74" s="435"/>
      <c r="B74" s="435"/>
      <c r="C74" s="435"/>
      <c r="D74" s="435"/>
      <c r="E74" s="435"/>
      <c r="F74" s="435"/>
      <c r="G74" s="435"/>
      <c r="H74" s="435"/>
    </row>
    <row r="75" spans="1:8" x14ac:dyDescent="0.25">
      <c r="A75" s="435"/>
      <c r="B75" s="435"/>
      <c r="C75" s="435"/>
      <c r="D75" s="435"/>
      <c r="E75" s="435"/>
      <c r="F75" s="435"/>
      <c r="G75" s="435"/>
      <c r="H75" s="435"/>
    </row>
    <row r="76" spans="1:8" x14ac:dyDescent="0.25">
      <c r="A76" s="435"/>
      <c r="B76" s="435"/>
      <c r="C76" s="435"/>
      <c r="D76" s="435"/>
      <c r="E76" s="435"/>
      <c r="F76" s="435"/>
      <c r="G76" s="435"/>
      <c r="H76" s="435"/>
    </row>
    <row r="77" spans="1:8" x14ac:dyDescent="0.25">
      <c r="A77" s="435"/>
      <c r="B77" s="435"/>
      <c r="C77" s="435"/>
      <c r="D77" s="435"/>
      <c r="E77" s="435"/>
      <c r="F77" s="435"/>
      <c r="G77" s="435"/>
      <c r="H77" s="435"/>
    </row>
    <row r="78" spans="1:8" x14ac:dyDescent="0.25">
      <c r="A78" s="435"/>
      <c r="B78" s="435"/>
      <c r="C78" s="435"/>
      <c r="D78" s="435"/>
      <c r="E78" s="435"/>
      <c r="F78" s="435"/>
      <c r="G78" s="435"/>
      <c r="H78" s="435"/>
    </row>
    <row r="79" spans="1:8" x14ac:dyDescent="0.25">
      <c r="A79" s="435"/>
      <c r="B79" s="435"/>
      <c r="C79" s="435"/>
      <c r="D79" s="435"/>
      <c r="E79" s="435"/>
      <c r="F79" s="435"/>
      <c r="G79" s="435"/>
      <c r="H79" s="435"/>
    </row>
    <row r="80" spans="1:8" x14ac:dyDescent="0.25">
      <c r="A80" s="435"/>
      <c r="B80" s="435"/>
      <c r="C80" s="435"/>
      <c r="D80" s="435"/>
      <c r="E80" s="435"/>
      <c r="F80" s="435"/>
      <c r="G80" s="435"/>
      <c r="H80" s="435"/>
    </row>
    <row r="81" spans="1:8" x14ac:dyDescent="0.25">
      <c r="A81" s="435"/>
      <c r="B81" s="435"/>
      <c r="C81" s="435"/>
      <c r="D81" s="435"/>
      <c r="E81" s="435"/>
      <c r="F81" s="435"/>
      <c r="G81" s="435"/>
      <c r="H81" s="435"/>
    </row>
    <row r="82" spans="1:8" x14ac:dyDescent="0.25">
      <c r="A82" s="435"/>
      <c r="B82" s="435"/>
      <c r="C82" s="435"/>
      <c r="D82" s="435"/>
      <c r="E82" s="435"/>
      <c r="F82" s="435"/>
      <c r="G82" s="435"/>
      <c r="H82" s="435"/>
    </row>
    <row r="83" spans="1:8" x14ac:dyDescent="0.25">
      <c r="A83" s="435"/>
      <c r="B83" s="435"/>
      <c r="C83" s="435"/>
      <c r="D83" s="435"/>
      <c r="E83" s="435"/>
      <c r="F83" s="435"/>
      <c r="G83" s="435"/>
      <c r="H83" s="435"/>
    </row>
    <row r="84" spans="1:8" x14ac:dyDescent="0.25">
      <c r="A84" s="435"/>
      <c r="B84" s="435"/>
      <c r="C84" s="435"/>
      <c r="D84" s="435"/>
      <c r="E84" s="435"/>
      <c r="F84" s="435"/>
      <c r="G84" s="435"/>
      <c r="H84" s="435"/>
    </row>
    <row r="85" spans="1:8" x14ac:dyDescent="0.25">
      <c r="A85" s="435"/>
      <c r="B85" s="435"/>
      <c r="C85" s="435"/>
      <c r="D85" s="435"/>
      <c r="E85" s="435"/>
      <c r="F85" s="435"/>
      <c r="G85" s="435"/>
      <c r="H85" s="435"/>
    </row>
    <row r="86" spans="1:8" x14ac:dyDescent="0.25">
      <c r="A86" s="435"/>
      <c r="B86" s="435"/>
      <c r="C86" s="435"/>
      <c r="D86" s="435"/>
      <c r="E86" s="435"/>
      <c r="F86" s="435"/>
      <c r="G86" s="435"/>
      <c r="H86" s="435"/>
    </row>
    <row r="87" spans="1:8" x14ac:dyDescent="0.25">
      <c r="A87" s="435"/>
      <c r="B87" s="435"/>
      <c r="C87" s="435"/>
      <c r="D87" s="435"/>
      <c r="E87" s="435"/>
      <c r="F87" s="435"/>
      <c r="G87" s="435"/>
      <c r="H87" s="435"/>
    </row>
    <row r="88" spans="1:8" x14ac:dyDescent="0.25">
      <c r="A88" s="435"/>
      <c r="B88" s="435"/>
      <c r="C88" s="435"/>
      <c r="D88" s="435"/>
      <c r="E88" s="435"/>
      <c r="F88" s="435"/>
      <c r="G88" s="435"/>
      <c r="H88" s="435"/>
    </row>
    <row r="89" spans="1:8" x14ac:dyDescent="0.25">
      <c r="A89" s="435"/>
      <c r="B89" s="435"/>
      <c r="C89" s="435"/>
      <c r="D89" s="435"/>
      <c r="E89" s="435"/>
      <c r="F89" s="435"/>
      <c r="G89" s="435"/>
      <c r="H89" s="435"/>
    </row>
    <row r="90" spans="1:8" x14ac:dyDescent="0.25">
      <c r="A90" s="435"/>
      <c r="B90" s="435"/>
      <c r="C90" s="435"/>
      <c r="D90" s="435"/>
      <c r="E90" s="435"/>
      <c r="F90" s="435"/>
      <c r="G90" s="435"/>
      <c r="H90" s="435"/>
    </row>
    <row r="91" spans="1:8" x14ac:dyDescent="0.25">
      <c r="A91" s="435"/>
      <c r="B91" s="435"/>
      <c r="C91" s="435"/>
      <c r="D91" s="435"/>
      <c r="E91" s="435"/>
      <c r="F91" s="435"/>
      <c r="G91" s="435"/>
      <c r="H91" s="435"/>
    </row>
    <row r="92" spans="1:8" x14ac:dyDescent="0.25">
      <c r="A92" s="435"/>
      <c r="B92" s="435"/>
      <c r="C92" s="435"/>
      <c r="D92" s="435"/>
      <c r="E92" s="435"/>
      <c r="F92" s="435"/>
      <c r="G92" s="435"/>
      <c r="H92" s="435"/>
    </row>
    <row r="93" spans="1:8" x14ac:dyDescent="0.25">
      <c r="A93" s="435"/>
      <c r="B93" s="435"/>
      <c r="C93" s="435"/>
      <c r="D93" s="435"/>
      <c r="E93" s="435"/>
      <c r="F93" s="435"/>
      <c r="G93" s="435"/>
      <c r="H93" s="435"/>
    </row>
    <row r="94" spans="1:8" x14ac:dyDescent="0.25">
      <c r="A94" s="435"/>
      <c r="B94" s="435"/>
      <c r="C94" s="435"/>
      <c r="D94" s="435"/>
      <c r="E94" s="435"/>
      <c r="F94" s="435"/>
      <c r="G94" s="435"/>
      <c r="H94" s="435"/>
    </row>
    <row r="95" spans="1:8" x14ac:dyDescent="0.25">
      <c r="A95" s="435"/>
      <c r="B95" s="435"/>
      <c r="C95" s="435"/>
      <c r="D95" s="435"/>
      <c r="E95" s="435"/>
      <c r="F95" s="435"/>
      <c r="G95" s="435"/>
      <c r="H95" s="435"/>
    </row>
    <row r="96" spans="1:8" x14ac:dyDescent="0.25">
      <c r="A96" s="435"/>
      <c r="B96" s="435"/>
      <c r="C96" s="435"/>
      <c r="D96" s="435"/>
      <c r="E96" s="435"/>
      <c r="F96" s="435"/>
      <c r="G96" s="435"/>
      <c r="H96" s="435"/>
    </row>
    <row r="97" spans="1:8" x14ac:dyDescent="0.25">
      <c r="A97" s="435"/>
      <c r="B97" s="435"/>
      <c r="C97" s="435"/>
      <c r="D97" s="435"/>
      <c r="E97" s="435"/>
      <c r="F97" s="435"/>
      <c r="G97" s="435"/>
      <c r="H97" s="435"/>
    </row>
    <row r="98" spans="1:8" x14ac:dyDescent="0.25">
      <c r="A98" s="435"/>
      <c r="B98" s="435"/>
      <c r="C98" s="435"/>
      <c r="D98" s="435"/>
      <c r="E98" s="435"/>
      <c r="F98" s="435"/>
      <c r="G98" s="435"/>
      <c r="H98" s="435"/>
    </row>
    <row r="99" spans="1:8" x14ac:dyDescent="0.25">
      <c r="A99" s="435"/>
      <c r="B99" s="435"/>
      <c r="C99" s="435"/>
      <c r="D99" s="435"/>
      <c r="E99" s="435"/>
      <c r="F99" s="435"/>
      <c r="G99" s="435"/>
      <c r="H99" s="435"/>
    </row>
    <row r="100" spans="1:8" x14ac:dyDescent="0.25">
      <c r="A100" s="435"/>
      <c r="B100" s="435"/>
      <c r="C100" s="435"/>
      <c r="D100" s="435"/>
      <c r="E100" s="435"/>
      <c r="F100" s="435"/>
      <c r="G100" s="435"/>
      <c r="H100" s="435"/>
    </row>
    <row r="101" spans="1:8" x14ac:dyDescent="0.25">
      <c r="A101" s="435"/>
      <c r="B101" s="435"/>
      <c r="C101" s="435"/>
      <c r="D101" s="435"/>
      <c r="E101" s="435"/>
      <c r="F101" s="435"/>
      <c r="G101" s="435"/>
      <c r="H101" s="435"/>
    </row>
    <row r="102" spans="1:8" x14ac:dyDescent="0.25">
      <c r="A102" s="435"/>
      <c r="B102" s="435"/>
      <c r="C102" s="435"/>
      <c r="D102" s="435"/>
      <c r="E102" s="435"/>
      <c r="F102" s="435"/>
      <c r="G102" s="435"/>
      <c r="H102" s="435"/>
    </row>
    <row r="103" spans="1:8" x14ac:dyDescent="0.25">
      <c r="A103" s="435"/>
      <c r="B103" s="435"/>
      <c r="C103" s="435"/>
      <c r="D103" s="435"/>
      <c r="E103" s="435"/>
      <c r="F103" s="435"/>
      <c r="G103" s="435"/>
      <c r="H103" s="435"/>
    </row>
    <row r="104" spans="1:8" x14ac:dyDescent="0.25">
      <c r="A104" s="435"/>
      <c r="B104" s="435"/>
      <c r="C104" s="435"/>
      <c r="D104" s="435"/>
      <c r="E104" s="435"/>
      <c r="F104" s="435"/>
      <c r="G104" s="435"/>
      <c r="H104" s="435"/>
    </row>
    <row r="105" spans="1:8" x14ac:dyDescent="0.25">
      <c r="A105" s="435"/>
      <c r="B105" s="435"/>
      <c r="C105" s="435"/>
      <c r="D105" s="435"/>
      <c r="E105" s="435"/>
      <c r="F105" s="435"/>
      <c r="G105" s="435"/>
      <c r="H105" s="435"/>
    </row>
    <row r="106" spans="1:8" x14ac:dyDescent="0.25">
      <c r="A106" s="435"/>
      <c r="B106" s="435"/>
      <c r="C106" s="435"/>
      <c r="D106" s="435"/>
      <c r="E106" s="435"/>
      <c r="F106" s="435"/>
      <c r="G106" s="435"/>
      <c r="H106" s="435"/>
    </row>
    <row r="107" spans="1:8" x14ac:dyDescent="0.25">
      <c r="A107" s="435"/>
      <c r="B107" s="435"/>
      <c r="C107" s="435"/>
      <c r="D107" s="435"/>
      <c r="E107" s="435"/>
      <c r="F107" s="435"/>
      <c r="G107" s="435"/>
      <c r="H107" s="435"/>
    </row>
    <row r="108" spans="1:8" x14ac:dyDescent="0.25">
      <c r="A108" s="435"/>
      <c r="B108" s="435"/>
      <c r="C108" s="435"/>
      <c r="D108" s="435"/>
      <c r="E108" s="435"/>
      <c r="F108" s="435"/>
      <c r="G108" s="435"/>
      <c r="H108" s="435"/>
    </row>
    <row r="109" spans="1:8" x14ac:dyDescent="0.25">
      <c r="A109" s="435"/>
      <c r="B109" s="435"/>
      <c r="C109" s="435"/>
      <c r="D109" s="435"/>
      <c r="E109" s="435"/>
      <c r="F109" s="435"/>
      <c r="G109" s="435"/>
      <c r="H109" s="435"/>
    </row>
    <row r="110" spans="1:8" x14ac:dyDescent="0.25">
      <c r="A110" s="435"/>
      <c r="B110" s="435"/>
      <c r="C110" s="435"/>
      <c r="D110" s="435"/>
      <c r="E110" s="435"/>
      <c r="F110" s="435"/>
      <c r="G110" s="435"/>
      <c r="H110" s="435"/>
    </row>
    <row r="111" spans="1:8" x14ac:dyDescent="0.25">
      <c r="A111" s="435"/>
      <c r="B111" s="435"/>
      <c r="C111" s="435"/>
      <c r="D111" s="435"/>
      <c r="E111" s="435"/>
      <c r="F111" s="435"/>
      <c r="G111" s="435"/>
      <c r="H111" s="435"/>
    </row>
    <row r="112" spans="1:8" x14ac:dyDescent="0.25">
      <c r="A112" s="435"/>
      <c r="B112" s="435"/>
      <c r="C112" s="435"/>
      <c r="D112" s="435"/>
      <c r="E112" s="435"/>
      <c r="F112" s="435"/>
      <c r="G112" s="435"/>
      <c r="H112" s="435"/>
    </row>
    <row r="113" spans="1:8" x14ac:dyDescent="0.25">
      <c r="A113" s="435"/>
      <c r="B113" s="435"/>
      <c r="C113" s="435"/>
      <c r="D113" s="435"/>
      <c r="E113" s="435"/>
      <c r="F113" s="435"/>
      <c r="G113" s="435"/>
      <c r="H113" s="435"/>
    </row>
    <row r="114" spans="1:8" x14ac:dyDescent="0.25">
      <c r="A114" s="435"/>
      <c r="B114" s="435"/>
      <c r="C114" s="435"/>
      <c r="D114" s="435"/>
      <c r="E114" s="435"/>
      <c r="F114" s="435"/>
      <c r="G114" s="435"/>
      <c r="H114" s="435"/>
    </row>
    <row r="115" spans="1:8" x14ac:dyDescent="0.25">
      <c r="A115" s="435"/>
      <c r="B115" s="435"/>
      <c r="C115" s="435"/>
      <c r="D115" s="435"/>
      <c r="E115" s="435"/>
      <c r="F115" s="435"/>
      <c r="G115" s="435"/>
      <c r="H115" s="435"/>
    </row>
    <row r="116" spans="1:8" x14ac:dyDescent="0.25">
      <c r="A116" s="435"/>
      <c r="B116" s="435"/>
      <c r="C116" s="435"/>
      <c r="D116" s="435"/>
      <c r="E116" s="435"/>
      <c r="F116" s="435"/>
      <c r="G116" s="435"/>
      <c r="H116" s="435"/>
    </row>
    <row r="117" spans="1:8" x14ac:dyDescent="0.25">
      <c r="A117" s="435"/>
      <c r="B117" s="435"/>
      <c r="C117" s="435"/>
      <c r="D117" s="435"/>
      <c r="E117" s="435"/>
      <c r="F117" s="435"/>
      <c r="G117" s="435"/>
      <c r="H117" s="435"/>
    </row>
    <row r="118" spans="1:8" x14ac:dyDescent="0.25">
      <c r="A118" s="435"/>
      <c r="B118" s="435"/>
      <c r="C118" s="435"/>
      <c r="D118" s="435"/>
      <c r="E118" s="435"/>
      <c r="F118" s="435"/>
      <c r="G118" s="435"/>
      <c r="H118" s="435"/>
    </row>
    <row r="119" spans="1:8" x14ac:dyDescent="0.25">
      <c r="A119" s="435"/>
      <c r="B119" s="435"/>
      <c r="C119" s="435"/>
      <c r="D119" s="435"/>
      <c r="E119" s="435"/>
      <c r="F119" s="435"/>
      <c r="G119" s="435"/>
      <c r="H119" s="435"/>
    </row>
    <row r="120" spans="1:8" x14ac:dyDescent="0.25">
      <c r="A120" s="435"/>
      <c r="B120" s="435"/>
      <c r="C120" s="435"/>
      <c r="D120" s="435"/>
      <c r="E120" s="435"/>
      <c r="F120" s="435"/>
      <c r="G120" s="435"/>
      <c r="H120" s="435"/>
    </row>
    <row r="121" spans="1:8" x14ac:dyDescent="0.25">
      <c r="A121" s="435"/>
      <c r="B121" s="435"/>
      <c r="C121" s="435"/>
      <c r="D121" s="435"/>
      <c r="E121" s="435"/>
      <c r="F121" s="435"/>
      <c r="G121" s="435"/>
      <c r="H121" s="435"/>
    </row>
    <row r="122" spans="1:8" x14ac:dyDescent="0.25">
      <c r="A122" s="435"/>
      <c r="B122" s="435"/>
      <c r="C122" s="435"/>
      <c r="D122" s="435"/>
      <c r="E122" s="435"/>
      <c r="F122" s="435"/>
      <c r="G122" s="435"/>
      <c r="H122" s="435"/>
    </row>
    <row r="123" spans="1:8" x14ac:dyDescent="0.25">
      <c r="A123" s="435"/>
      <c r="B123" s="435"/>
      <c r="C123" s="435"/>
      <c r="D123" s="435"/>
      <c r="E123" s="435"/>
      <c r="F123" s="435"/>
      <c r="G123" s="435"/>
      <c r="H123" s="435"/>
    </row>
    <row r="124" spans="1:8" x14ac:dyDescent="0.25">
      <c r="A124" s="435"/>
      <c r="B124" s="435"/>
      <c r="C124" s="435"/>
      <c r="D124" s="435"/>
      <c r="E124" s="435"/>
      <c r="F124" s="435"/>
      <c r="G124" s="435"/>
      <c r="H124" s="435"/>
    </row>
    <row r="125" spans="1:8" x14ac:dyDescent="0.25">
      <c r="A125" s="435"/>
      <c r="B125" s="435"/>
      <c r="C125" s="435"/>
      <c r="D125" s="435"/>
      <c r="E125" s="435"/>
      <c r="F125" s="435"/>
      <c r="G125" s="435"/>
      <c r="H125" s="435"/>
    </row>
    <row r="126" spans="1:8" x14ac:dyDescent="0.25">
      <c r="A126" s="435"/>
      <c r="B126" s="435"/>
      <c r="C126" s="435"/>
      <c r="D126" s="435"/>
      <c r="E126" s="435"/>
      <c r="F126" s="435"/>
      <c r="G126" s="435"/>
      <c r="H126" s="435"/>
    </row>
    <row r="127" spans="1:8" x14ac:dyDescent="0.25">
      <c r="A127" s="435"/>
      <c r="B127" s="435"/>
      <c r="C127" s="435"/>
      <c r="D127" s="435"/>
      <c r="E127" s="435"/>
      <c r="F127" s="435"/>
      <c r="G127" s="435"/>
      <c r="H127" s="435"/>
    </row>
    <row r="128" spans="1:8" x14ac:dyDescent="0.25">
      <c r="A128" s="435"/>
      <c r="B128" s="435"/>
      <c r="C128" s="435"/>
      <c r="D128" s="435"/>
      <c r="E128" s="435"/>
      <c r="F128" s="435"/>
      <c r="G128" s="435"/>
      <c r="H128" s="435"/>
    </row>
    <row r="129" spans="1:8" x14ac:dyDescent="0.25">
      <c r="A129" s="435"/>
      <c r="B129" s="435"/>
      <c r="C129" s="435"/>
      <c r="D129" s="435"/>
      <c r="E129" s="435"/>
      <c r="F129" s="435"/>
      <c r="G129" s="435"/>
      <c r="H129" s="435"/>
    </row>
    <row r="130" spans="1:8" x14ac:dyDescent="0.25">
      <c r="A130" s="435"/>
      <c r="B130" s="435"/>
      <c r="C130" s="435"/>
      <c r="D130" s="435"/>
      <c r="E130" s="435"/>
      <c r="F130" s="435"/>
      <c r="G130" s="435"/>
      <c r="H130" s="435"/>
    </row>
    <row r="131" spans="1:8" x14ac:dyDescent="0.25">
      <c r="A131" s="435"/>
      <c r="B131" s="435"/>
      <c r="C131" s="435"/>
      <c r="D131" s="435"/>
      <c r="E131" s="435"/>
      <c r="F131" s="435"/>
      <c r="G131" s="435"/>
      <c r="H131" s="435"/>
    </row>
    <row r="132" spans="1:8" x14ac:dyDescent="0.25">
      <c r="A132" s="435"/>
      <c r="B132" s="435"/>
      <c r="C132" s="435"/>
      <c r="D132" s="435"/>
      <c r="E132" s="435"/>
      <c r="F132" s="435"/>
      <c r="G132" s="435"/>
      <c r="H132" s="435"/>
    </row>
    <row r="133" spans="1:8" x14ac:dyDescent="0.25">
      <c r="A133" s="435"/>
      <c r="B133" s="435"/>
      <c r="C133" s="435"/>
      <c r="D133" s="435"/>
      <c r="E133" s="435"/>
      <c r="F133" s="435"/>
      <c r="G133" s="435"/>
      <c r="H133" s="435"/>
    </row>
    <row r="134" spans="1:8" x14ac:dyDescent="0.25">
      <c r="A134" s="435"/>
      <c r="B134" s="435"/>
      <c r="C134" s="435"/>
      <c r="D134" s="435"/>
      <c r="E134" s="435"/>
      <c r="F134" s="435"/>
      <c r="G134" s="435"/>
      <c r="H134" s="435"/>
    </row>
    <row r="135" spans="1:8" x14ac:dyDescent="0.25">
      <c r="A135" s="435"/>
      <c r="B135" s="435"/>
      <c r="C135" s="435"/>
      <c r="D135" s="435"/>
      <c r="E135" s="435"/>
      <c r="F135" s="435"/>
      <c r="G135" s="435"/>
      <c r="H135" s="435"/>
    </row>
    <row r="136" spans="1:8" x14ac:dyDescent="0.25">
      <c r="A136" s="435"/>
      <c r="B136" s="435"/>
      <c r="C136" s="435"/>
      <c r="D136" s="435"/>
      <c r="E136" s="435"/>
      <c r="F136" s="435"/>
      <c r="G136" s="435"/>
      <c r="H136" s="435"/>
    </row>
    <row r="137" spans="1:8" x14ac:dyDescent="0.25">
      <c r="A137" s="435"/>
      <c r="B137" s="435"/>
      <c r="C137" s="435"/>
      <c r="D137" s="435"/>
      <c r="E137" s="435"/>
      <c r="F137" s="435"/>
      <c r="G137" s="435"/>
      <c r="H137" s="435"/>
    </row>
    <row r="138" spans="1:8" x14ac:dyDescent="0.25">
      <c r="A138" s="435"/>
      <c r="B138" s="435"/>
      <c r="C138" s="435"/>
      <c r="D138" s="435"/>
      <c r="E138" s="435"/>
      <c r="F138" s="435"/>
      <c r="G138" s="435"/>
      <c r="H138" s="435"/>
    </row>
    <row r="139" spans="1:8" x14ac:dyDescent="0.25">
      <c r="A139" s="435"/>
      <c r="B139" s="435"/>
      <c r="C139" s="435"/>
      <c r="D139" s="435"/>
      <c r="E139" s="435"/>
      <c r="F139" s="435"/>
      <c r="G139" s="435"/>
      <c r="H139" s="435"/>
    </row>
    <row r="140" spans="1:8" x14ac:dyDescent="0.25">
      <c r="A140" s="435"/>
      <c r="B140" s="435"/>
      <c r="C140" s="435"/>
      <c r="D140" s="435"/>
      <c r="E140" s="435"/>
      <c r="F140" s="435"/>
      <c r="G140" s="435"/>
      <c r="H140" s="435"/>
    </row>
    <row r="141" spans="1:8" x14ac:dyDescent="0.25">
      <c r="A141" s="435"/>
      <c r="B141" s="435"/>
      <c r="C141" s="435"/>
      <c r="D141" s="435"/>
      <c r="E141" s="435"/>
      <c r="F141" s="435"/>
      <c r="G141" s="435"/>
      <c r="H141" s="435"/>
    </row>
    <row r="142" spans="1:8" x14ac:dyDescent="0.25">
      <c r="A142" s="435"/>
      <c r="B142" s="435"/>
      <c r="C142" s="435"/>
      <c r="D142" s="435"/>
      <c r="E142" s="435"/>
      <c r="F142" s="435"/>
      <c r="G142" s="435"/>
      <c r="H142" s="435"/>
    </row>
    <row r="143" spans="1:8" x14ac:dyDescent="0.25">
      <c r="A143" s="435"/>
      <c r="B143" s="435"/>
      <c r="C143" s="435"/>
      <c r="D143" s="435"/>
      <c r="E143" s="435"/>
      <c r="F143" s="435"/>
      <c r="G143" s="435"/>
      <c r="H143" s="435"/>
    </row>
    <row r="144" spans="1:8" x14ac:dyDescent="0.25">
      <c r="A144" s="435"/>
      <c r="B144" s="435"/>
      <c r="C144" s="435"/>
      <c r="D144" s="435"/>
      <c r="E144" s="435"/>
      <c r="F144" s="435"/>
      <c r="G144" s="435"/>
      <c r="H144" s="435"/>
    </row>
    <row r="145" spans="1:8" x14ac:dyDescent="0.25">
      <c r="A145" s="435"/>
      <c r="B145" s="435"/>
      <c r="C145" s="435"/>
      <c r="D145" s="435"/>
      <c r="E145" s="435"/>
      <c r="F145" s="435"/>
      <c r="G145" s="435"/>
      <c r="H145" s="435"/>
    </row>
    <row r="146" spans="1:8" x14ac:dyDescent="0.25">
      <c r="A146" s="435"/>
      <c r="B146" s="435"/>
      <c r="C146" s="435"/>
      <c r="D146" s="435"/>
      <c r="E146" s="435"/>
      <c r="F146" s="435"/>
      <c r="G146" s="435"/>
      <c r="H146" s="435"/>
    </row>
    <row r="147" spans="1:8" x14ac:dyDescent="0.25">
      <c r="A147" s="435"/>
      <c r="B147" s="435"/>
      <c r="C147" s="435"/>
      <c r="D147" s="435"/>
      <c r="E147" s="435"/>
      <c r="F147" s="435"/>
      <c r="G147" s="435"/>
      <c r="H147" s="435"/>
    </row>
    <row r="148" spans="1:8" x14ac:dyDescent="0.25">
      <c r="A148" s="435"/>
      <c r="B148" s="435"/>
      <c r="C148" s="435"/>
      <c r="D148" s="435"/>
      <c r="E148" s="435"/>
      <c r="F148" s="435"/>
      <c r="G148" s="435"/>
      <c r="H148" s="435"/>
    </row>
    <row r="149" spans="1:8" x14ac:dyDescent="0.25">
      <c r="A149" s="435"/>
      <c r="B149" s="435"/>
      <c r="C149" s="435"/>
      <c r="D149" s="435"/>
      <c r="E149" s="435"/>
      <c r="F149" s="435"/>
      <c r="G149" s="435"/>
      <c r="H149" s="435"/>
    </row>
    <row r="150" spans="1:8" x14ac:dyDescent="0.25">
      <c r="A150" s="435"/>
      <c r="B150" s="435"/>
      <c r="C150" s="435"/>
      <c r="D150" s="435"/>
      <c r="E150" s="435"/>
      <c r="F150" s="435"/>
      <c r="G150" s="435"/>
      <c r="H150" s="435"/>
    </row>
    <row r="151" spans="1:8" x14ac:dyDescent="0.25">
      <c r="A151" s="435"/>
      <c r="B151" s="435"/>
      <c r="C151" s="435"/>
      <c r="D151" s="435"/>
      <c r="E151" s="435"/>
      <c r="F151" s="435"/>
      <c r="G151" s="435"/>
      <c r="H151" s="435"/>
    </row>
    <row r="152" spans="1:8" x14ac:dyDescent="0.25">
      <c r="A152" s="435"/>
      <c r="B152" s="435"/>
      <c r="C152" s="435"/>
      <c r="D152" s="435"/>
      <c r="E152" s="435"/>
      <c r="F152" s="435"/>
      <c r="G152" s="435"/>
      <c r="H152" s="435"/>
    </row>
    <row r="153" spans="1:8" x14ac:dyDescent="0.25">
      <c r="A153" s="435"/>
      <c r="B153" s="435"/>
      <c r="C153" s="435"/>
      <c r="D153" s="435"/>
      <c r="E153" s="435"/>
      <c r="F153" s="435"/>
      <c r="G153" s="435"/>
      <c r="H153" s="435"/>
    </row>
    <row r="154" spans="1:8" x14ac:dyDescent="0.25">
      <c r="A154" s="435"/>
      <c r="B154" s="435"/>
      <c r="C154" s="435"/>
      <c r="D154" s="435"/>
      <c r="E154" s="435"/>
      <c r="F154" s="435"/>
      <c r="G154" s="435"/>
      <c r="H154" s="435"/>
    </row>
    <row r="155" spans="1:8" x14ac:dyDescent="0.25">
      <c r="A155" s="435"/>
      <c r="B155" s="435"/>
      <c r="C155" s="435"/>
      <c r="D155" s="435"/>
      <c r="E155" s="435"/>
      <c r="F155" s="435"/>
      <c r="G155" s="435"/>
      <c r="H155" s="435"/>
    </row>
    <row r="156" spans="1:8" x14ac:dyDescent="0.25">
      <c r="A156" s="435"/>
      <c r="B156" s="435"/>
      <c r="C156" s="435"/>
      <c r="D156" s="435"/>
      <c r="E156" s="435"/>
      <c r="F156" s="435"/>
      <c r="G156" s="435"/>
      <c r="H156" s="435"/>
    </row>
    <row r="157" spans="1:8" x14ac:dyDescent="0.25">
      <c r="A157" s="435"/>
      <c r="B157" s="435"/>
      <c r="C157" s="435"/>
      <c r="D157" s="435"/>
      <c r="E157" s="435"/>
      <c r="F157" s="435"/>
      <c r="G157" s="435"/>
      <c r="H157" s="435"/>
    </row>
    <row r="158" spans="1:8" x14ac:dyDescent="0.25">
      <c r="A158" s="435"/>
      <c r="B158" s="435"/>
      <c r="C158" s="435"/>
      <c r="D158" s="435"/>
      <c r="E158" s="435"/>
      <c r="F158" s="435"/>
      <c r="G158" s="435"/>
      <c r="H158" s="435"/>
    </row>
    <row r="159" spans="1:8" x14ac:dyDescent="0.25">
      <c r="A159" s="435"/>
      <c r="B159" s="435"/>
      <c r="C159" s="435"/>
      <c r="D159" s="435"/>
      <c r="E159" s="435"/>
      <c r="F159" s="435"/>
      <c r="G159" s="435"/>
      <c r="H159" s="435"/>
    </row>
    <row r="160" spans="1:8" x14ac:dyDescent="0.25">
      <c r="A160" s="435"/>
      <c r="B160" s="435"/>
      <c r="C160" s="435"/>
      <c r="D160" s="435"/>
      <c r="E160" s="435"/>
      <c r="F160" s="435"/>
      <c r="G160" s="435"/>
      <c r="H160" s="435"/>
    </row>
    <row r="161" spans="1:8" x14ac:dyDescent="0.25">
      <c r="A161" s="435"/>
      <c r="B161" s="435"/>
      <c r="C161" s="435"/>
      <c r="D161" s="435"/>
      <c r="E161" s="435"/>
      <c r="F161" s="435"/>
      <c r="G161" s="435"/>
      <c r="H161" s="435"/>
    </row>
    <row r="162" spans="1:8" x14ac:dyDescent="0.25">
      <c r="A162" s="435"/>
      <c r="B162" s="435"/>
      <c r="C162" s="435"/>
      <c r="D162" s="435"/>
      <c r="E162" s="435"/>
      <c r="F162" s="435"/>
      <c r="G162" s="435"/>
      <c r="H162" s="435"/>
    </row>
    <row r="163" spans="1:8" x14ac:dyDescent="0.25">
      <c r="A163" s="435"/>
      <c r="B163" s="435"/>
      <c r="C163" s="435"/>
      <c r="D163" s="435"/>
      <c r="E163" s="435"/>
      <c r="F163" s="435"/>
      <c r="G163" s="435"/>
      <c r="H163" s="435"/>
    </row>
    <row r="164" spans="1:8" x14ac:dyDescent="0.25">
      <c r="A164" s="435"/>
      <c r="B164" s="435"/>
      <c r="C164" s="435"/>
      <c r="D164" s="435"/>
      <c r="E164" s="435"/>
      <c r="F164" s="435"/>
      <c r="G164" s="435"/>
      <c r="H164" s="435"/>
    </row>
    <row r="165" spans="1:8" x14ac:dyDescent="0.25">
      <c r="A165" s="435"/>
      <c r="B165" s="435"/>
      <c r="C165" s="435"/>
      <c r="D165" s="435"/>
      <c r="E165" s="435"/>
      <c r="F165" s="435"/>
      <c r="G165" s="435"/>
      <c r="H165" s="435"/>
    </row>
    <row r="166" spans="1:8" x14ac:dyDescent="0.25">
      <c r="A166" s="435"/>
      <c r="B166" s="435"/>
      <c r="C166" s="435"/>
      <c r="D166" s="435"/>
      <c r="E166" s="435"/>
      <c r="F166" s="435"/>
      <c r="G166" s="435"/>
      <c r="H166" s="435"/>
    </row>
    <row r="167" spans="1:8" x14ac:dyDescent="0.25">
      <c r="A167" s="435"/>
      <c r="B167" s="435"/>
      <c r="C167" s="435"/>
      <c r="D167" s="435"/>
      <c r="E167" s="435"/>
      <c r="F167" s="435"/>
      <c r="G167" s="435"/>
      <c r="H167" s="435"/>
    </row>
    <row r="168" spans="1:8" x14ac:dyDescent="0.25">
      <c r="A168" s="435"/>
      <c r="B168" s="435"/>
      <c r="C168" s="435"/>
      <c r="D168" s="435"/>
      <c r="E168" s="435"/>
      <c r="F168" s="435"/>
      <c r="G168" s="435"/>
      <c r="H168" s="435"/>
    </row>
    <row r="169" spans="1:8" x14ac:dyDescent="0.25">
      <c r="A169" s="435"/>
      <c r="B169" s="435"/>
      <c r="C169" s="435"/>
      <c r="D169" s="435"/>
      <c r="E169" s="435"/>
      <c r="F169" s="435"/>
      <c r="G169" s="435"/>
      <c r="H169" s="435"/>
    </row>
    <row r="170" spans="1:8" x14ac:dyDescent="0.25">
      <c r="A170" s="435"/>
      <c r="B170" s="435"/>
      <c r="C170" s="435"/>
      <c r="D170" s="435"/>
      <c r="E170" s="435"/>
      <c r="F170" s="435"/>
      <c r="G170" s="435"/>
      <c r="H170" s="435"/>
    </row>
    <row r="171" spans="1:8" x14ac:dyDescent="0.25">
      <c r="A171" s="435"/>
      <c r="B171" s="435"/>
      <c r="C171" s="435"/>
      <c r="D171" s="435"/>
      <c r="E171" s="435"/>
      <c r="F171" s="435"/>
      <c r="G171" s="435"/>
      <c r="H171" s="435"/>
    </row>
    <row r="172" spans="1:8" x14ac:dyDescent="0.25">
      <c r="A172" s="435"/>
      <c r="B172" s="435"/>
      <c r="C172" s="435"/>
      <c r="D172" s="435"/>
      <c r="E172" s="435"/>
      <c r="F172" s="435"/>
      <c r="G172" s="435"/>
      <c r="H172" s="435"/>
    </row>
    <row r="173" spans="1:8" x14ac:dyDescent="0.25">
      <c r="A173" s="435"/>
      <c r="B173" s="435"/>
      <c r="C173" s="435"/>
      <c r="D173" s="435"/>
      <c r="E173" s="435"/>
      <c r="F173" s="435"/>
      <c r="G173" s="435"/>
      <c r="H173" s="435"/>
    </row>
    <row r="174" spans="1:8" x14ac:dyDescent="0.25">
      <c r="A174" s="435"/>
      <c r="B174" s="435"/>
      <c r="C174" s="435"/>
      <c r="D174" s="435"/>
      <c r="E174" s="435"/>
      <c r="F174" s="435"/>
      <c r="G174" s="435"/>
      <c r="H174" s="435"/>
    </row>
    <row r="175" spans="1:8" x14ac:dyDescent="0.25">
      <c r="A175" s="435"/>
      <c r="B175" s="435"/>
      <c r="C175" s="435"/>
      <c r="D175" s="435"/>
      <c r="E175" s="435"/>
      <c r="F175" s="435"/>
      <c r="G175" s="435"/>
      <c r="H175" s="435"/>
    </row>
    <row r="176" spans="1:8" x14ac:dyDescent="0.25">
      <c r="A176" s="435"/>
      <c r="B176" s="435"/>
      <c r="C176" s="435"/>
      <c r="D176" s="435"/>
      <c r="E176" s="435"/>
      <c r="F176" s="435"/>
      <c r="G176" s="435"/>
      <c r="H176" s="435"/>
    </row>
    <row r="177" spans="1:8" x14ac:dyDescent="0.25">
      <c r="A177" s="435"/>
      <c r="B177" s="435"/>
      <c r="C177" s="435"/>
      <c r="D177" s="435"/>
      <c r="E177" s="435"/>
      <c r="F177" s="435"/>
      <c r="G177" s="435"/>
      <c r="H177" s="435"/>
    </row>
    <row r="178" spans="1:8" x14ac:dyDescent="0.25">
      <c r="A178" s="435"/>
      <c r="B178" s="435"/>
      <c r="C178" s="435"/>
      <c r="D178" s="435"/>
      <c r="E178" s="435"/>
      <c r="F178" s="435"/>
      <c r="G178" s="435"/>
      <c r="H178" s="435"/>
    </row>
    <row r="179" spans="1:8" x14ac:dyDescent="0.25">
      <c r="A179" s="435"/>
      <c r="B179" s="435"/>
      <c r="C179" s="435"/>
      <c r="D179" s="435"/>
      <c r="E179" s="435"/>
      <c r="F179" s="435"/>
      <c r="G179" s="435"/>
      <c r="H179" s="435"/>
    </row>
    <row r="180" spans="1:8" x14ac:dyDescent="0.25">
      <c r="A180" s="435"/>
      <c r="B180" s="435"/>
      <c r="C180" s="435"/>
      <c r="D180" s="435"/>
      <c r="E180" s="435"/>
      <c r="F180" s="435"/>
      <c r="G180" s="435"/>
      <c r="H180" s="435"/>
    </row>
    <row r="181" spans="1:8" x14ac:dyDescent="0.25">
      <c r="A181" s="435"/>
      <c r="B181" s="435"/>
      <c r="C181" s="435"/>
      <c r="D181" s="435"/>
      <c r="E181" s="435"/>
      <c r="F181" s="435"/>
      <c r="G181" s="435"/>
      <c r="H181" s="435"/>
    </row>
    <row r="182" spans="1:8" x14ac:dyDescent="0.25">
      <c r="A182" s="435"/>
      <c r="B182" s="435"/>
      <c r="C182" s="435"/>
      <c r="D182" s="435"/>
      <c r="E182" s="435"/>
      <c r="F182" s="435"/>
      <c r="G182" s="435"/>
      <c r="H182" s="435"/>
    </row>
    <row r="183" spans="1:8" x14ac:dyDescent="0.25">
      <c r="A183" s="435"/>
      <c r="B183" s="435"/>
      <c r="C183" s="435"/>
      <c r="D183" s="435"/>
      <c r="E183" s="435"/>
      <c r="F183" s="435"/>
      <c r="G183" s="435"/>
      <c r="H183" s="435"/>
    </row>
    <row r="184" spans="1:8" x14ac:dyDescent="0.25">
      <c r="A184" s="435"/>
      <c r="B184" s="435"/>
      <c r="C184" s="435"/>
      <c r="D184" s="435"/>
      <c r="E184" s="435"/>
      <c r="F184" s="435"/>
      <c r="G184" s="435"/>
      <c r="H184" s="435"/>
    </row>
    <row r="185" spans="1:8" x14ac:dyDescent="0.25">
      <c r="A185" s="435"/>
      <c r="B185" s="435"/>
      <c r="C185" s="435"/>
      <c r="D185" s="435"/>
      <c r="E185" s="435"/>
      <c r="F185" s="435"/>
      <c r="G185" s="435"/>
      <c r="H185" s="435"/>
    </row>
    <row r="186" spans="1:8" x14ac:dyDescent="0.25">
      <c r="A186" s="435"/>
      <c r="B186" s="435"/>
      <c r="C186" s="435"/>
      <c r="D186" s="435"/>
      <c r="E186" s="435"/>
      <c r="F186" s="435"/>
      <c r="G186" s="435"/>
      <c r="H186" s="435"/>
    </row>
    <row r="187" spans="1:8" x14ac:dyDescent="0.25">
      <c r="A187" s="435"/>
      <c r="B187" s="435"/>
      <c r="C187" s="435"/>
      <c r="D187" s="435"/>
      <c r="E187" s="435"/>
      <c r="F187" s="435"/>
      <c r="G187" s="435"/>
      <c r="H187" s="435"/>
    </row>
    <row r="188" spans="1:8" x14ac:dyDescent="0.25">
      <c r="A188" s="435"/>
      <c r="B188" s="435"/>
      <c r="C188" s="435"/>
      <c r="D188" s="435"/>
      <c r="E188" s="435"/>
      <c r="F188" s="435"/>
      <c r="G188" s="435"/>
      <c r="H188" s="435"/>
    </row>
    <row r="189" spans="1:8" x14ac:dyDescent="0.25">
      <c r="A189" s="435"/>
      <c r="B189" s="435"/>
      <c r="C189" s="435"/>
      <c r="D189" s="435"/>
      <c r="E189" s="435"/>
      <c r="F189" s="435"/>
      <c r="G189" s="435"/>
      <c r="H189" s="435"/>
    </row>
    <row r="190" spans="1:8" x14ac:dyDescent="0.25">
      <c r="A190" s="435"/>
      <c r="B190" s="435"/>
      <c r="C190" s="435"/>
      <c r="D190" s="435"/>
      <c r="E190" s="435"/>
      <c r="F190" s="435"/>
      <c r="G190" s="435"/>
      <c r="H190" s="435"/>
    </row>
    <row r="191" spans="1:8" x14ac:dyDescent="0.25">
      <c r="A191" s="435"/>
      <c r="B191" s="435"/>
      <c r="C191" s="435"/>
      <c r="D191" s="435"/>
      <c r="E191" s="435"/>
      <c r="F191" s="435"/>
      <c r="G191" s="435"/>
      <c r="H191" s="435"/>
    </row>
    <row r="192" spans="1:8" x14ac:dyDescent="0.25">
      <c r="A192" s="435"/>
      <c r="B192" s="435"/>
      <c r="C192" s="435"/>
      <c r="D192" s="435"/>
      <c r="E192" s="435"/>
      <c r="F192" s="435"/>
      <c r="G192" s="435"/>
      <c r="H192" s="435"/>
    </row>
    <row r="193" spans="1:8" x14ac:dyDescent="0.25">
      <c r="A193" s="435"/>
      <c r="B193" s="435"/>
      <c r="C193" s="435"/>
      <c r="D193" s="435"/>
      <c r="E193" s="435"/>
      <c r="F193" s="435"/>
      <c r="G193" s="435"/>
      <c r="H193" s="435"/>
    </row>
    <row r="194" spans="1:8" x14ac:dyDescent="0.25">
      <c r="A194" s="435"/>
      <c r="B194" s="435"/>
      <c r="C194" s="435"/>
      <c r="D194" s="435"/>
      <c r="E194" s="435"/>
      <c r="F194" s="435"/>
      <c r="G194" s="435"/>
      <c r="H194" s="435"/>
    </row>
    <row r="195" spans="1:8" x14ac:dyDescent="0.25">
      <c r="A195" s="435"/>
      <c r="B195" s="435"/>
      <c r="C195" s="435"/>
      <c r="D195" s="435"/>
      <c r="E195" s="435"/>
      <c r="F195" s="435"/>
      <c r="G195" s="435"/>
      <c r="H195" s="435"/>
    </row>
    <row r="196" spans="1:8" x14ac:dyDescent="0.25">
      <c r="A196" s="435"/>
      <c r="B196" s="435"/>
      <c r="C196" s="435"/>
      <c r="D196" s="435"/>
      <c r="E196" s="435"/>
      <c r="F196" s="435"/>
      <c r="G196" s="435"/>
      <c r="H196" s="435"/>
    </row>
    <row r="197" spans="1:8" x14ac:dyDescent="0.25">
      <c r="A197" s="435"/>
      <c r="B197" s="435"/>
      <c r="C197" s="435"/>
      <c r="D197" s="435"/>
      <c r="E197" s="435"/>
      <c r="F197" s="435"/>
      <c r="G197" s="435"/>
      <c r="H197" s="435"/>
    </row>
    <row r="198" spans="1:8" x14ac:dyDescent="0.25">
      <c r="A198" s="435"/>
      <c r="B198" s="435"/>
      <c r="C198" s="435"/>
      <c r="D198" s="435"/>
      <c r="E198" s="435"/>
      <c r="F198" s="435"/>
      <c r="G198" s="435"/>
      <c r="H198" s="435"/>
    </row>
    <row r="199" spans="1:8" x14ac:dyDescent="0.25">
      <c r="A199" s="435"/>
      <c r="B199" s="435"/>
      <c r="C199" s="435"/>
      <c r="D199" s="435"/>
      <c r="E199" s="435"/>
      <c r="F199" s="435"/>
      <c r="G199" s="435"/>
      <c r="H199" s="435"/>
    </row>
    <row r="200" spans="1:8" x14ac:dyDescent="0.25">
      <c r="A200" s="435"/>
      <c r="B200" s="435"/>
      <c r="C200" s="435"/>
      <c r="D200" s="435"/>
      <c r="E200" s="435"/>
      <c r="F200" s="435"/>
      <c r="G200" s="435"/>
      <c r="H200" s="435"/>
    </row>
    <row r="201" spans="1:8" x14ac:dyDescent="0.25">
      <c r="A201" s="435"/>
      <c r="B201" s="435"/>
      <c r="C201" s="435"/>
      <c r="D201" s="435"/>
      <c r="E201" s="435"/>
      <c r="F201" s="435"/>
      <c r="G201" s="435"/>
      <c r="H201" s="435"/>
    </row>
    <row r="202" spans="1:8" x14ac:dyDescent="0.25">
      <c r="A202" s="435"/>
      <c r="B202" s="435"/>
      <c r="C202" s="435"/>
      <c r="D202" s="435"/>
      <c r="E202" s="435"/>
      <c r="F202" s="435"/>
      <c r="G202" s="435"/>
      <c r="H202" s="435"/>
    </row>
    <row r="203" spans="1:8" x14ac:dyDescent="0.25">
      <c r="A203" s="435"/>
      <c r="B203" s="435"/>
      <c r="C203" s="435"/>
      <c r="D203" s="435"/>
      <c r="E203" s="435"/>
      <c r="F203" s="435"/>
      <c r="G203" s="435"/>
      <c r="H203" s="435"/>
    </row>
    <row r="204" spans="1:8" x14ac:dyDescent="0.25">
      <c r="A204" s="435"/>
      <c r="B204" s="435"/>
      <c r="C204" s="435"/>
      <c r="D204" s="435"/>
      <c r="E204" s="435"/>
      <c r="F204" s="435"/>
      <c r="G204" s="435"/>
      <c r="H204" s="435"/>
    </row>
    <row r="205" spans="1:8" x14ac:dyDescent="0.25">
      <c r="A205" s="435"/>
      <c r="B205" s="435"/>
      <c r="C205" s="435"/>
      <c r="D205" s="435"/>
      <c r="E205" s="435"/>
      <c r="F205" s="435"/>
      <c r="G205" s="435"/>
      <c r="H205" s="435"/>
    </row>
    <row r="206" spans="1:8" x14ac:dyDescent="0.25">
      <c r="A206" s="435"/>
      <c r="B206" s="435"/>
      <c r="C206" s="435"/>
      <c r="D206" s="435"/>
      <c r="E206" s="435"/>
      <c r="F206" s="435"/>
      <c r="G206" s="435"/>
      <c r="H206" s="435"/>
    </row>
    <row r="207" spans="1:8" x14ac:dyDescent="0.25">
      <c r="A207" s="435"/>
      <c r="B207" s="435"/>
      <c r="C207" s="435"/>
      <c r="D207" s="435"/>
      <c r="E207" s="435"/>
      <c r="F207" s="435"/>
      <c r="G207" s="435"/>
      <c r="H207" s="435"/>
    </row>
    <row r="208" spans="1:8" x14ac:dyDescent="0.25">
      <c r="A208" s="435"/>
      <c r="B208" s="435"/>
      <c r="C208" s="435"/>
      <c r="D208" s="435"/>
      <c r="E208" s="435"/>
      <c r="F208" s="435"/>
      <c r="G208" s="435"/>
      <c r="H208" s="435"/>
    </row>
    <row r="209" spans="1:8" x14ac:dyDescent="0.25">
      <c r="A209" s="435"/>
      <c r="B209" s="435"/>
      <c r="C209" s="435"/>
      <c r="D209" s="435"/>
      <c r="E209" s="435"/>
      <c r="F209" s="435"/>
      <c r="G209" s="435"/>
      <c r="H209" s="435"/>
    </row>
    <row r="210" spans="1:8" x14ac:dyDescent="0.25">
      <c r="A210" s="435"/>
      <c r="B210" s="435"/>
      <c r="C210" s="435"/>
      <c r="D210" s="435"/>
      <c r="E210" s="435"/>
      <c r="F210" s="435"/>
      <c r="G210" s="435"/>
      <c r="H210" s="435"/>
    </row>
    <row r="211" spans="1:8" x14ac:dyDescent="0.25">
      <c r="A211" s="435"/>
      <c r="B211" s="435"/>
      <c r="C211" s="435"/>
      <c r="D211" s="435"/>
      <c r="E211" s="435"/>
      <c r="F211" s="435"/>
      <c r="G211" s="435"/>
      <c r="H211" s="435"/>
    </row>
    <row r="212" spans="1:8" x14ac:dyDescent="0.25">
      <c r="A212" s="435"/>
      <c r="B212" s="435"/>
      <c r="C212" s="435"/>
      <c r="D212" s="435"/>
      <c r="E212" s="435"/>
      <c r="F212" s="435"/>
      <c r="G212" s="435"/>
      <c r="H212" s="435"/>
    </row>
    <row r="213" spans="1:8" x14ac:dyDescent="0.25">
      <c r="A213" s="435"/>
      <c r="B213" s="435"/>
      <c r="C213" s="435"/>
      <c r="D213" s="435"/>
      <c r="E213" s="435"/>
      <c r="F213" s="435"/>
      <c r="G213" s="435"/>
      <c r="H213" s="435"/>
    </row>
    <row r="214" spans="1:8" x14ac:dyDescent="0.25">
      <c r="A214" s="435"/>
      <c r="B214" s="435"/>
      <c r="C214" s="435"/>
      <c r="D214" s="435"/>
      <c r="E214" s="435"/>
      <c r="F214" s="435"/>
      <c r="G214" s="435"/>
      <c r="H214" s="435"/>
    </row>
    <row r="215" spans="1:8" x14ac:dyDescent="0.25">
      <c r="A215" s="435"/>
      <c r="B215" s="435"/>
      <c r="C215" s="435"/>
      <c r="D215" s="435"/>
      <c r="E215" s="435"/>
      <c r="F215" s="435"/>
      <c r="G215" s="435"/>
      <c r="H215" s="435"/>
    </row>
    <row r="216" spans="1:8" x14ac:dyDescent="0.25">
      <c r="A216" s="435"/>
      <c r="B216" s="435"/>
      <c r="C216" s="435"/>
      <c r="D216" s="435"/>
      <c r="E216" s="435"/>
      <c r="F216" s="435"/>
      <c r="G216" s="435"/>
      <c r="H216" s="435"/>
    </row>
    <row r="217" spans="1:8" x14ac:dyDescent="0.25">
      <c r="A217" s="435"/>
      <c r="B217" s="435"/>
      <c r="C217" s="435"/>
      <c r="D217" s="435"/>
      <c r="E217" s="435"/>
      <c r="F217" s="435"/>
      <c r="G217" s="435"/>
      <c r="H217" s="435"/>
    </row>
    <row r="218" spans="1:8" x14ac:dyDescent="0.25">
      <c r="A218" s="435"/>
      <c r="B218" s="435"/>
      <c r="C218" s="435"/>
      <c r="D218" s="435"/>
      <c r="E218" s="435"/>
      <c r="F218" s="435"/>
      <c r="G218" s="435"/>
      <c r="H218" s="435"/>
    </row>
    <row r="219" spans="1:8" x14ac:dyDescent="0.25">
      <c r="A219" s="435"/>
      <c r="B219" s="435"/>
      <c r="C219" s="435"/>
      <c r="D219" s="435"/>
      <c r="E219" s="435"/>
      <c r="F219" s="435"/>
      <c r="G219" s="435"/>
      <c r="H219" s="435"/>
    </row>
    <row r="220" spans="1:8" x14ac:dyDescent="0.25">
      <c r="A220" s="435"/>
      <c r="B220" s="435"/>
      <c r="C220" s="435"/>
      <c r="D220" s="435"/>
      <c r="E220" s="435"/>
      <c r="F220" s="435"/>
      <c r="G220" s="435"/>
      <c r="H220" s="435"/>
    </row>
    <row r="221" spans="1:8" x14ac:dyDescent="0.25">
      <c r="A221" s="435"/>
      <c r="B221" s="435"/>
      <c r="C221" s="435"/>
      <c r="D221" s="435"/>
      <c r="E221" s="435"/>
      <c r="F221" s="435"/>
      <c r="G221" s="435"/>
      <c r="H221" s="435"/>
    </row>
    <row r="222" spans="1:8" x14ac:dyDescent="0.25">
      <c r="A222" s="435"/>
      <c r="B222" s="435"/>
      <c r="C222" s="435"/>
      <c r="D222" s="435"/>
      <c r="E222" s="435"/>
      <c r="F222" s="435"/>
      <c r="G222" s="435"/>
      <c r="H222" s="435"/>
    </row>
    <row r="223" spans="1:8" x14ac:dyDescent="0.25">
      <c r="A223" s="435"/>
      <c r="B223" s="435"/>
      <c r="C223" s="435"/>
      <c r="D223" s="435"/>
      <c r="E223" s="435"/>
      <c r="F223" s="435"/>
      <c r="G223" s="435"/>
      <c r="H223" s="435"/>
    </row>
    <row r="224" spans="1:8" x14ac:dyDescent="0.25">
      <c r="A224" s="435"/>
      <c r="B224" s="435"/>
      <c r="C224" s="435"/>
      <c r="D224" s="435"/>
      <c r="E224" s="435"/>
      <c r="F224" s="435"/>
      <c r="G224" s="435"/>
      <c r="H224" s="435"/>
    </row>
    <row r="225" spans="1:8" x14ac:dyDescent="0.25">
      <c r="A225" s="435"/>
      <c r="B225" s="435"/>
      <c r="C225" s="435"/>
      <c r="D225" s="435"/>
      <c r="E225" s="435"/>
      <c r="F225" s="435"/>
      <c r="G225" s="435"/>
      <c r="H225" s="435"/>
    </row>
    <row r="226" spans="1:8" x14ac:dyDescent="0.25">
      <c r="A226" s="435"/>
      <c r="B226" s="435"/>
      <c r="C226" s="435"/>
      <c r="D226" s="435"/>
      <c r="E226" s="435"/>
      <c r="F226" s="435"/>
      <c r="G226" s="435"/>
      <c r="H226" s="435"/>
    </row>
    <row r="227" spans="1:8" x14ac:dyDescent="0.25">
      <c r="A227" s="435"/>
      <c r="B227" s="435"/>
      <c r="C227" s="435"/>
      <c r="D227" s="435"/>
      <c r="E227" s="435"/>
      <c r="F227" s="435"/>
      <c r="G227" s="435"/>
      <c r="H227" s="435"/>
    </row>
    <row r="228" spans="1:8" x14ac:dyDescent="0.25">
      <c r="A228" s="435"/>
      <c r="B228" s="435"/>
      <c r="C228" s="435"/>
      <c r="D228" s="435"/>
      <c r="E228" s="435"/>
      <c r="F228" s="435"/>
      <c r="G228" s="435"/>
      <c r="H228" s="435"/>
    </row>
    <row r="229" spans="1:8" x14ac:dyDescent="0.25">
      <c r="A229" s="435"/>
      <c r="B229" s="435"/>
      <c r="C229" s="435"/>
      <c r="D229" s="435"/>
      <c r="E229" s="435"/>
      <c r="F229" s="435"/>
      <c r="G229" s="435"/>
      <c r="H229" s="435"/>
    </row>
    <row r="230" spans="1:8" x14ac:dyDescent="0.25">
      <c r="A230" s="435"/>
      <c r="B230" s="435"/>
      <c r="C230" s="435"/>
      <c r="D230" s="435"/>
      <c r="E230" s="435"/>
      <c r="F230" s="435"/>
      <c r="G230" s="435"/>
      <c r="H230" s="435"/>
    </row>
    <row r="231" spans="1:8" x14ac:dyDescent="0.25">
      <c r="A231" s="435"/>
      <c r="B231" s="435"/>
      <c r="C231" s="435"/>
      <c r="D231" s="435"/>
      <c r="E231" s="435"/>
      <c r="F231" s="435"/>
      <c r="G231" s="435"/>
      <c r="H231" s="435"/>
    </row>
    <row r="232" spans="1:8" x14ac:dyDescent="0.25">
      <c r="A232" s="435"/>
      <c r="B232" s="435"/>
      <c r="C232" s="435"/>
      <c r="D232" s="435"/>
      <c r="E232" s="435"/>
      <c r="F232" s="435"/>
      <c r="G232" s="435"/>
      <c r="H232" s="435"/>
    </row>
    <row r="233" spans="1:8" x14ac:dyDescent="0.25">
      <c r="A233" s="435"/>
      <c r="B233" s="435"/>
      <c r="C233" s="435"/>
      <c r="D233" s="435"/>
      <c r="E233" s="435"/>
      <c r="F233" s="435"/>
      <c r="G233" s="435"/>
      <c r="H233" s="435"/>
    </row>
    <row r="234" spans="1:8" x14ac:dyDescent="0.25">
      <c r="A234" s="435"/>
      <c r="B234" s="435"/>
      <c r="C234" s="435"/>
      <c r="D234" s="435"/>
      <c r="E234" s="435"/>
      <c r="F234" s="435"/>
      <c r="G234" s="435"/>
      <c r="H234" s="435"/>
    </row>
    <row r="235" spans="1:8" x14ac:dyDescent="0.25">
      <c r="A235" s="435"/>
      <c r="B235" s="435"/>
      <c r="C235" s="435"/>
      <c r="D235" s="435"/>
      <c r="E235" s="435"/>
      <c r="F235" s="435"/>
      <c r="G235" s="435"/>
      <c r="H235" s="435"/>
    </row>
    <row r="236" spans="1:8" x14ac:dyDescent="0.25">
      <c r="A236" s="435"/>
      <c r="B236" s="435"/>
      <c r="C236" s="435"/>
      <c r="D236" s="435"/>
      <c r="E236" s="435"/>
      <c r="F236" s="435"/>
      <c r="G236" s="435"/>
      <c r="H236" s="435"/>
    </row>
    <row r="237" spans="1:8" x14ac:dyDescent="0.25">
      <c r="A237" s="435"/>
      <c r="B237" s="435"/>
      <c r="C237" s="435"/>
      <c r="D237" s="435"/>
      <c r="E237" s="435"/>
      <c r="F237" s="435"/>
      <c r="G237" s="435"/>
      <c r="H237" s="435"/>
    </row>
    <row r="238" spans="1:8" x14ac:dyDescent="0.25">
      <c r="A238" s="435"/>
      <c r="B238" s="435"/>
      <c r="C238" s="435"/>
      <c r="D238" s="435"/>
      <c r="E238" s="435"/>
      <c r="F238" s="435"/>
      <c r="G238" s="435"/>
      <c r="H238" s="435"/>
    </row>
    <row r="239" spans="1:8" x14ac:dyDescent="0.25">
      <c r="A239" s="435"/>
      <c r="B239" s="435"/>
      <c r="C239" s="435"/>
      <c r="D239" s="435"/>
      <c r="E239" s="435"/>
      <c r="F239" s="435"/>
      <c r="G239" s="435"/>
      <c r="H239" s="435"/>
    </row>
    <row r="240" spans="1:8" x14ac:dyDescent="0.25">
      <c r="A240" s="435"/>
      <c r="B240" s="435"/>
      <c r="C240" s="435"/>
      <c r="D240" s="435"/>
      <c r="E240" s="435"/>
      <c r="F240" s="435"/>
      <c r="G240" s="435"/>
      <c r="H240" s="435"/>
    </row>
    <row r="241" spans="1:8" x14ac:dyDescent="0.25">
      <c r="A241" s="435"/>
      <c r="B241" s="435"/>
      <c r="C241" s="435"/>
      <c r="D241" s="435"/>
      <c r="E241" s="435"/>
      <c r="F241" s="435"/>
      <c r="G241" s="435"/>
      <c r="H241" s="435"/>
    </row>
    <row r="242" spans="1:8" x14ac:dyDescent="0.25">
      <c r="A242" s="435"/>
      <c r="B242" s="435"/>
      <c r="C242" s="435"/>
      <c r="D242" s="435"/>
      <c r="E242" s="435"/>
      <c r="F242" s="435"/>
      <c r="G242" s="435"/>
      <c r="H242" s="435"/>
    </row>
    <row r="243" spans="1:8" x14ac:dyDescent="0.25">
      <c r="A243" s="435"/>
      <c r="B243" s="435"/>
      <c r="C243" s="435"/>
      <c r="D243" s="435"/>
      <c r="E243" s="435"/>
      <c r="F243" s="435"/>
      <c r="G243" s="435"/>
      <c r="H243" s="435"/>
    </row>
    <row r="244" spans="1:8" x14ac:dyDescent="0.25">
      <c r="A244" s="435"/>
      <c r="B244" s="435"/>
      <c r="C244" s="435"/>
      <c r="D244" s="435"/>
      <c r="E244" s="435"/>
      <c r="F244" s="435"/>
      <c r="G244" s="435"/>
      <c r="H244" s="435"/>
    </row>
    <row r="245" spans="1:8" x14ac:dyDescent="0.25">
      <c r="A245" s="435"/>
      <c r="B245" s="435"/>
      <c r="C245" s="435"/>
      <c r="D245" s="435"/>
      <c r="E245" s="435"/>
      <c r="F245" s="435"/>
      <c r="G245" s="435"/>
      <c r="H245" s="435"/>
    </row>
    <row r="246" spans="1:8" x14ac:dyDescent="0.25">
      <c r="A246" s="435"/>
      <c r="B246" s="435"/>
      <c r="C246" s="435"/>
      <c r="D246" s="435"/>
      <c r="E246" s="435"/>
      <c r="F246" s="435"/>
      <c r="G246" s="435"/>
      <c r="H246" s="435"/>
    </row>
    <row r="247" spans="1:8" x14ac:dyDescent="0.25">
      <c r="A247" s="435"/>
      <c r="B247" s="435"/>
      <c r="C247" s="435"/>
      <c r="D247" s="435"/>
      <c r="E247" s="435"/>
      <c r="F247" s="435"/>
      <c r="G247" s="435"/>
      <c r="H247" s="435"/>
    </row>
    <row r="248" spans="1:8" x14ac:dyDescent="0.25">
      <c r="A248" s="435"/>
      <c r="B248" s="435"/>
      <c r="C248" s="435"/>
      <c r="D248" s="435"/>
      <c r="E248" s="435"/>
      <c r="F248" s="435"/>
      <c r="G248" s="435"/>
      <c r="H248" s="435"/>
    </row>
    <row r="249" spans="1:8" x14ac:dyDescent="0.25">
      <c r="A249" s="435"/>
      <c r="B249" s="435"/>
      <c r="C249" s="435"/>
      <c r="D249" s="435"/>
      <c r="E249" s="435"/>
      <c r="F249" s="435"/>
      <c r="G249" s="435"/>
      <c r="H249" s="435"/>
    </row>
    <row r="250" spans="1:8" x14ac:dyDescent="0.25">
      <c r="A250" s="435"/>
      <c r="B250" s="435"/>
      <c r="C250" s="435"/>
      <c r="D250" s="435"/>
      <c r="E250" s="435"/>
      <c r="F250" s="435"/>
      <c r="G250" s="435"/>
      <c r="H250" s="435"/>
    </row>
    <row r="251" spans="1:8" x14ac:dyDescent="0.25">
      <c r="A251" s="435"/>
      <c r="B251" s="435"/>
      <c r="C251" s="435"/>
      <c r="D251" s="435"/>
      <c r="E251" s="435"/>
      <c r="F251" s="435"/>
      <c r="G251" s="435"/>
      <c r="H251" s="435"/>
    </row>
    <row r="252" spans="1:8" x14ac:dyDescent="0.25">
      <c r="A252" s="435"/>
      <c r="B252" s="435"/>
      <c r="C252" s="435"/>
      <c r="D252" s="435"/>
      <c r="E252" s="435"/>
      <c r="F252" s="435"/>
      <c r="G252" s="435"/>
      <c r="H252" s="435"/>
    </row>
    <row r="253" spans="1:8" x14ac:dyDescent="0.25">
      <c r="A253" s="435"/>
      <c r="B253" s="435"/>
      <c r="C253" s="435"/>
      <c r="D253" s="435"/>
      <c r="E253" s="435"/>
      <c r="F253" s="435"/>
      <c r="G253" s="435"/>
      <c r="H253" s="435"/>
    </row>
    <row r="254" spans="1:8" x14ac:dyDescent="0.25">
      <c r="A254" s="435"/>
      <c r="B254" s="435"/>
      <c r="C254" s="435"/>
      <c r="D254" s="435"/>
      <c r="E254" s="435"/>
      <c r="F254" s="435"/>
      <c r="G254" s="435"/>
      <c r="H254" s="435"/>
    </row>
    <row r="255" spans="1:8" x14ac:dyDescent="0.25">
      <c r="A255" s="435"/>
      <c r="B255" s="435"/>
      <c r="C255" s="435"/>
      <c r="D255" s="435"/>
      <c r="E255" s="435"/>
      <c r="F255" s="435"/>
      <c r="G255" s="435"/>
      <c r="H255" s="435"/>
    </row>
    <row r="256" spans="1:8" x14ac:dyDescent="0.25">
      <c r="A256" s="435"/>
      <c r="B256" s="435"/>
      <c r="C256" s="435"/>
      <c r="D256" s="435"/>
      <c r="E256" s="435"/>
      <c r="F256" s="435"/>
      <c r="G256" s="435"/>
      <c r="H256" s="435"/>
    </row>
    <row r="257" spans="1:8" x14ac:dyDescent="0.25">
      <c r="A257" s="435"/>
      <c r="B257" s="435"/>
      <c r="C257" s="435"/>
      <c r="D257" s="435"/>
      <c r="E257" s="435"/>
      <c r="F257" s="435"/>
      <c r="G257" s="435"/>
      <c r="H257" s="435"/>
    </row>
    <row r="258" spans="1:8" x14ac:dyDescent="0.25">
      <c r="A258" s="435"/>
      <c r="B258" s="435"/>
      <c r="C258" s="435"/>
      <c r="D258" s="435"/>
      <c r="E258" s="435"/>
      <c r="F258" s="435"/>
      <c r="G258" s="435"/>
      <c r="H258" s="435"/>
    </row>
    <row r="259" spans="1:8" x14ac:dyDescent="0.25">
      <c r="A259" s="435"/>
      <c r="B259" s="435"/>
      <c r="C259" s="435"/>
      <c r="D259" s="435"/>
      <c r="E259" s="435"/>
      <c r="F259" s="435"/>
      <c r="G259" s="435"/>
      <c r="H259" s="435"/>
    </row>
    <row r="260" spans="1:8" x14ac:dyDescent="0.25">
      <c r="A260" s="435"/>
      <c r="B260" s="435"/>
      <c r="C260" s="435"/>
      <c r="D260" s="435"/>
      <c r="E260" s="435"/>
      <c r="F260" s="435"/>
      <c r="G260" s="435"/>
      <c r="H260" s="435"/>
    </row>
    <row r="261" spans="1:8" x14ac:dyDescent="0.25">
      <c r="A261" s="435"/>
      <c r="B261" s="435"/>
      <c r="C261" s="435"/>
      <c r="D261" s="435"/>
      <c r="E261" s="435"/>
      <c r="F261" s="435"/>
      <c r="G261" s="435"/>
      <c r="H261" s="435"/>
    </row>
    <row r="262" spans="1:8" x14ac:dyDescent="0.25">
      <c r="A262" s="435"/>
      <c r="B262" s="435"/>
      <c r="C262" s="435"/>
      <c r="D262" s="435"/>
      <c r="E262" s="435"/>
      <c r="F262" s="435"/>
      <c r="G262" s="435"/>
      <c r="H262" s="435"/>
    </row>
    <row r="263" spans="1:8" x14ac:dyDescent="0.25">
      <c r="A263" s="435"/>
      <c r="B263" s="435"/>
      <c r="C263" s="435"/>
      <c r="D263" s="435"/>
      <c r="E263" s="435"/>
      <c r="F263" s="435"/>
      <c r="G263" s="435"/>
      <c r="H263" s="435"/>
    </row>
    <row r="264" spans="1:8" x14ac:dyDescent="0.25">
      <c r="A264" s="435"/>
      <c r="B264" s="435"/>
      <c r="C264" s="435"/>
      <c r="D264" s="435"/>
      <c r="E264" s="435"/>
      <c r="F264" s="435"/>
      <c r="G264" s="435"/>
      <c r="H264" s="435"/>
    </row>
    <row r="265" spans="1:8" x14ac:dyDescent="0.25">
      <c r="A265" s="435"/>
      <c r="B265" s="435"/>
      <c r="C265" s="435"/>
      <c r="D265" s="435"/>
      <c r="E265" s="435"/>
      <c r="F265" s="435"/>
      <c r="G265" s="435"/>
      <c r="H265" s="435"/>
    </row>
    <row r="266" spans="1:8" x14ac:dyDescent="0.25">
      <c r="A266" s="435"/>
      <c r="B266" s="435"/>
      <c r="C266" s="435"/>
      <c r="D266" s="435"/>
      <c r="E266" s="435"/>
      <c r="F266" s="435"/>
      <c r="G266" s="435"/>
      <c r="H266" s="435"/>
    </row>
    <row r="267" spans="1:8" x14ac:dyDescent="0.25">
      <c r="A267" s="435"/>
      <c r="B267" s="435"/>
      <c r="C267" s="435"/>
      <c r="D267" s="435"/>
      <c r="E267" s="435"/>
      <c r="F267" s="435"/>
      <c r="G267" s="435"/>
      <c r="H267" s="435"/>
    </row>
    <row r="268" spans="1:8" x14ac:dyDescent="0.25">
      <c r="A268" s="435"/>
      <c r="B268" s="435"/>
      <c r="C268" s="435"/>
      <c r="D268" s="435"/>
      <c r="E268" s="435"/>
      <c r="F268" s="435"/>
      <c r="G268" s="435"/>
      <c r="H268" s="435"/>
    </row>
    <row r="269" spans="1:8" x14ac:dyDescent="0.25">
      <c r="A269" s="435"/>
      <c r="B269" s="435"/>
      <c r="C269" s="435"/>
      <c r="D269" s="435"/>
      <c r="E269" s="435"/>
      <c r="F269" s="435"/>
      <c r="G269" s="435"/>
      <c r="H269" s="435"/>
    </row>
    <row r="270" spans="1:8" x14ac:dyDescent="0.25">
      <c r="A270" s="435"/>
      <c r="B270" s="435"/>
      <c r="C270" s="435"/>
      <c r="D270" s="435"/>
      <c r="E270" s="435"/>
      <c r="F270" s="435"/>
      <c r="G270" s="435"/>
      <c r="H270" s="435"/>
    </row>
    <row r="271" spans="1:8" x14ac:dyDescent="0.25">
      <c r="A271" s="435"/>
      <c r="B271" s="435"/>
      <c r="C271" s="435"/>
      <c r="D271" s="435"/>
      <c r="E271" s="435"/>
      <c r="F271" s="435"/>
      <c r="G271" s="435"/>
      <c r="H271" s="435"/>
    </row>
    <row r="272" spans="1:8" x14ac:dyDescent="0.25">
      <c r="A272" s="435"/>
      <c r="B272" s="435"/>
      <c r="C272" s="435"/>
      <c r="D272" s="435"/>
      <c r="E272" s="435"/>
      <c r="F272" s="435"/>
      <c r="G272" s="435"/>
      <c r="H272" s="435"/>
    </row>
    <row r="273" spans="1:8" x14ac:dyDescent="0.25">
      <c r="A273" s="435"/>
      <c r="B273" s="435"/>
      <c r="C273" s="435"/>
      <c r="D273" s="435"/>
      <c r="E273" s="435"/>
      <c r="F273" s="435"/>
      <c r="G273" s="435"/>
      <c r="H273" s="435"/>
    </row>
    <row r="274" spans="1:8" x14ac:dyDescent="0.25">
      <c r="A274" s="435"/>
      <c r="B274" s="435"/>
      <c r="C274" s="435"/>
      <c r="D274" s="435"/>
      <c r="E274" s="435"/>
      <c r="F274" s="435"/>
      <c r="G274" s="435"/>
      <c r="H274" s="435"/>
    </row>
    <row r="275" spans="1:8" x14ac:dyDescent="0.25">
      <c r="A275" s="435"/>
      <c r="B275" s="435"/>
      <c r="C275" s="435"/>
      <c r="D275" s="435"/>
      <c r="E275" s="435"/>
      <c r="F275" s="435"/>
      <c r="G275" s="435"/>
      <c r="H275" s="435"/>
    </row>
    <row r="276" spans="1:8" x14ac:dyDescent="0.25">
      <c r="A276" s="435"/>
      <c r="B276" s="435"/>
      <c r="C276" s="435"/>
      <c r="D276" s="435"/>
      <c r="E276" s="435"/>
      <c r="F276" s="435"/>
      <c r="G276" s="435"/>
      <c r="H276" s="435"/>
    </row>
    <row r="277" spans="1:8" x14ac:dyDescent="0.25">
      <c r="A277" s="435"/>
      <c r="B277" s="435"/>
      <c r="C277" s="435"/>
      <c r="D277" s="435"/>
      <c r="E277" s="435"/>
      <c r="F277" s="435"/>
      <c r="G277" s="435"/>
      <c r="H277" s="435"/>
    </row>
    <row r="278" spans="1:8" x14ac:dyDescent="0.25">
      <c r="A278" s="435"/>
      <c r="B278" s="435"/>
      <c r="C278" s="435"/>
      <c r="D278" s="435"/>
      <c r="E278" s="435"/>
      <c r="F278" s="435"/>
      <c r="G278" s="435"/>
      <c r="H278" s="435"/>
    </row>
    <row r="279" spans="1:8" x14ac:dyDescent="0.25">
      <c r="A279" s="435"/>
      <c r="B279" s="435"/>
      <c r="C279" s="435"/>
      <c r="D279" s="435"/>
      <c r="E279" s="435"/>
      <c r="F279" s="435"/>
      <c r="G279" s="435"/>
      <c r="H279" s="435"/>
    </row>
    <row r="280" spans="1:8" x14ac:dyDescent="0.25">
      <c r="A280" s="435"/>
      <c r="B280" s="435"/>
      <c r="C280" s="435"/>
      <c r="D280" s="435"/>
      <c r="E280" s="435"/>
      <c r="F280" s="435"/>
      <c r="G280" s="435"/>
      <c r="H280" s="435"/>
    </row>
    <row r="281" spans="1:8" x14ac:dyDescent="0.25">
      <c r="A281" s="435"/>
      <c r="B281" s="435"/>
      <c r="C281" s="435"/>
      <c r="D281" s="435"/>
      <c r="E281" s="435"/>
      <c r="F281" s="435"/>
      <c r="G281" s="435"/>
      <c r="H281" s="435"/>
    </row>
    <row r="282" spans="1:8" x14ac:dyDescent="0.25">
      <c r="A282" s="435"/>
      <c r="B282" s="435"/>
      <c r="C282" s="435"/>
      <c r="D282" s="435"/>
      <c r="E282" s="435"/>
      <c r="F282" s="435"/>
      <c r="G282" s="435"/>
      <c r="H282" s="435"/>
    </row>
    <row r="283" spans="1:8" x14ac:dyDescent="0.25">
      <c r="A283" s="435"/>
      <c r="B283" s="435"/>
      <c r="C283" s="435"/>
      <c r="D283" s="435"/>
      <c r="E283" s="435"/>
      <c r="F283" s="435"/>
      <c r="G283" s="435"/>
      <c r="H283" s="435"/>
    </row>
    <row r="284" spans="1:8" x14ac:dyDescent="0.25">
      <c r="A284" s="435"/>
      <c r="B284" s="435"/>
      <c r="C284" s="435"/>
      <c r="D284" s="435"/>
      <c r="E284" s="435"/>
      <c r="F284" s="435"/>
      <c r="G284" s="435"/>
      <c r="H284" s="435"/>
    </row>
    <row r="285" spans="1:8" x14ac:dyDescent="0.25">
      <c r="A285" s="435"/>
      <c r="B285" s="435"/>
      <c r="C285" s="435"/>
      <c r="D285" s="435"/>
      <c r="E285" s="435"/>
      <c r="F285" s="435"/>
      <c r="G285" s="435"/>
      <c r="H285" s="435"/>
    </row>
    <row r="286" spans="1:8" x14ac:dyDescent="0.25">
      <c r="A286" s="435"/>
      <c r="B286" s="435"/>
      <c r="C286" s="435"/>
      <c r="D286" s="435"/>
      <c r="E286" s="435"/>
      <c r="F286" s="435"/>
      <c r="G286" s="435"/>
      <c r="H286" s="435"/>
    </row>
    <row r="287" spans="1:8" x14ac:dyDescent="0.25">
      <c r="A287" s="435"/>
      <c r="B287" s="435"/>
      <c r="C287" s="435"/>
      <c r="D287" s="435"/>
      <c r="E287" s="435"/>
      <c r="F287" s="435"/>
      <c r="G287" s="435"/>
      <c r="H287" s="435"/>
    </row>
    <row r="288" spans="1:8" x14ac:dyDescent="0.25">
      <c r="A288" s="435"/>
      <c r="B288" s="435"/>
      <c r="C288" s="435"/>
      <c r="D288" s="435"/>
      <c r="E288" s="435"/>
      <c r="F288" s="435"/>
      <c r="G288" s="435"/>
      <c r="H288" s="435"/>
    </row>
    <row r="289" spans="1:8" x14ac:dyDescent="0.25">
      <c r="A289" s="435"/>
      <c r="B289" s="435"/>
      <c r="C289" s="435"/>
      <c r="D289" s="435"/>
      <c r="E289" s="435"/>
      <c r="F289" s="435"/>
      <c r="G289" s="435"/>
      <c r="H289" s="435"/>
    </row>
    <row r="290" spans="1:8" x14ac:dyDescent="0.25">
      <c r="A290" s="435"/>
      <c r="B290" s="435"/>
      <c r="C290" s="435"/>
      <c r="D290" s="435"/>
      <c r="E290" s="435"/>
      <c r="F290" s="435"/>
      <c r="G290" s="435"/>
      <c r="H290" s="435"/>
    </row>
    <row r="291" spans="1:8" x14ac:dyDescent="0.25">
      <c r="A291" s="435"/>
      <c r="B291" s="435"/>
      <c r="C291" s="435"/>
      <c r="D291" s="435"/>
      <c r="E291" s="435"/>
      <c r="F291" s="435"/>
      <c r="G291" s="435"/>
      <c r="H291" s="435"/>
    </row>
    <row r="292" spans="1:8" x14ac:dyDescent="0.25">
      <c r="A292" s="435"/>
      <c r="B292" s="435"/>
      <c r="C292" s="435"/>
      <c r="D292" s="435"/>
      <c r="E292" s="435"/>
      <c r="F292" s="435"/>
      <c r="G292" s="435"/>
      <c r="H292" s="435"/>
    </row>
    <row r="293" spans="1:8" x14ac:dyDescent="0.25">
      <c r="A293" s="435"/>
      <c r="B293" s="435"/>
      <c r="C293" s="435"/>
      <c r="D293" s="435"/>
      <c r="E293" s="435"/>
      <c r="F293" s="435"/>
      <c r="G293" s="435"/>
      <c r="H293" s="435"/>
    </row>
    <row r="294" spans="1:8" x14ac:dyDescent="0.25">
      <c r="A294" s="435"/>
      <c r="B294" s="435"/>
      <c r="C294" s="435"/>
      <c r="D294" s="435"/>
      <c r="E294" s="435"/>
      <c r="F294" s="435"/>
      <c r="G294" s="435"/>
      <c r="H294" s="435"/>
    </row>
    <row r="295" spans="1:8" x14ac:dyDescent="0.25">
      <c r="A295" s="435"/>
      <c r="B295" s="435"/>
      <c r="C295" s="435"/>
      <c r="D295" s="435"/>
      <c r="E295" s="435"/>
      <c r="F295" s="435"/>
      <c r="G295" s="435"/>
      <c r="H295" s="435"/>
    </row>
    <row r="296" spans="1:8" x14ac:dyDescent="0.25">
      <c r="A296" s="435"/>
      <c r="B296" s="435"/>
      <c r="C296" s="435"/>
      <c r="D296" s="435"/>
      <c r="E296" s="435"/>
      <c r="F296" s="435"/>
      <c r="G296" s="435"/>
      <c r="H296" s="435"/>
    </row>
    <row r="297" spans="1:8" x14ac:dyDescent="0.25">
      <c r="A297" s="435"/>
      <c r="B297" s="435"/>
      <c r="C297" s="435"/>
      <c r="D297" s="435"/>
      <c r="E297" s="435"/>
      <c r="F297" s="435"/>
      <c r="G297" s="435"/>
      <c r="H297" s="435"/>
    </row>
    <row r="298" spans="1:8" x14ac:dyDescent="0.25">
      <c r="A298" s="435"/>
      <c r="B298" s="435"/>
      <c r="C298" s="435"/>
      <c r="D298" s="435"/>
      <c r="E298" s="435"/>
      <c r="F298" s="435"/>
      <c r="G298" s="435"/>
      <c r="H298" s="435"/>
    </row>
    <row r="299" spans="1:8" x14ac:dyDescent="0.25">
      <c r="A299" s="435"/>
      <c r="B299" s="435"/>
      <c r="C299" s="435"/>
      <c r="D299" s="435"/>
      <c r="E299" s="435"/>
      <c r="F299" s="435"/>
      <c r="G299" s="435"/>
      <c r="H299" s="435"/>
    </row>
    <row r="300" spans="1:8" x14ac:dyDescent="0.25">
      <c r="A300" s="435"/>
      <c r="B300" s="435"/>
      <c r="C300" s="435"/>
      <c r="D300" s="435"/>
      <c r="E300" s="435"/>
      <c r="F300" s="435"/>
      <c r="G300" s="435"/>
      <c r="H300" s="435"/>
    </row>
    <row r="301" spans="1:8" x14ac:dyDescent="0.25">
      <c r="A301" s="435"/>
      <c r="B301" s="435"/>
      <c r="C301" s="435"/>
      <c r="D301" s="435"/>
      <c r="E301" s="435"/>
      <c r="F301" s="435"/>
      <c r="G301" s="435"/>
      <c r="H301" s="435"/>
    </row>
    <row r="302" spans="1:8" x14ac:dyDescent="0.25">
      <c r="A302" s="435"/>
      <c r="B302" s="435"/>
      <c r="C302" s="435"/>
      <c r="D302" s="435"/>
      <c r="E302" s="435"/>
      <c r="F302" s="435"/>
      <c r="G302" s="435"/>
      <c r="H302" s="435"/>
    </row>
    <row r="303" spans="1:8" x14ac:dyDescent="0.25">
      <c r="A303" s="435"/>
      <c r="B303" s="435"/>
      <c r="C303" s="435"/>
      <c r="D303" s="435"/>
      <c r="E303" s="435"/>
      <c r="F303" s="435"/>
      <c r="G303" s="435"/>
      <c r="H303" s="435"/>
    </row>
    <row r="304" spans="1:8" x14ac:dyDescent="0.25">
      <c r="A304" s="435"/>
      <c r="B304" s="435"/>
      <c r="C304" s="435"/>
      <c r="D304" s="435"/>
      <c r="E304" s="435"/>
      <c r="F304" s="435"/>
      <c r="G304" s="435"/>
      <c r="H304" s="435"/>
    </row>
    <row r="305" spans="1:8" x14ac:dyDescent="0.25">
      <c r="A305" s="435"/>
      <c r="B305" s="435"/>
      <c r="C305" s="435"/>
      <c r="D305" s="435"/>
      <c r="E305" s="435"/>
      <c r="F305" s="435"/>
      <c r="G305" s="435"/>
      <c r="H305" s="435"/>
    </row>
    <row r="306" spans="1:8" x14ac:dyDescent="0.25">
      <c r="A306" s="435"/>
      <c r="B306" s="435"/>
      <c r="C306" s="435"/>
      <c r="D306" s="435"/>
      <c r="E306" s="435"/>
      <c r="F306" s="435"/>
      <c r="G306" s="435"/>
      <c r="H306" s="435"/>
    </row>
    <row r="307" spans="1:8" x14ac:dyDescent="0.25">
      <c r="A307" s="435"/>
      <c r="B307" s="435"/>
      <c r="C307" s="435"/>
      <c r="D307" s="435"/>
      <c r="E307" s="435"/>
      <c r="F307" s="435"/>
      <c r="G307" s="435"/>
      <c r="H307" s="435"/>
    </row>
    <row r="308" spans="1:8" x14ac:dyDescent="0.25">
      <c r="A308" s="435"/>
      <c r="B308" s="435"/>
      <c r="C308" s="435"/>
      <c r="D308" s="435"/>
      <c r="E308" s="435"/>
      <c r="F308" s="435"/>
      <c r="G308" s="435"/>
      <c r="H308" s="435"/>
    </row>
    <row r="309" spans="1:8" x14ac:dyDescent="0.25">
      <c r="A309" s="435"/>
      <c r="B309" s="435"/>
      <c r="C309" s="435"/>
      <c r="D309" s="435"/>
      <c r="E309" s="435"/>
      <c r="F309" s="435"/>
      <c r="G309" s="435"/>
      <c r="H309" s="435"/>
    </row>
    <row r="310" spans="1:8" x14ac:dyDescent="0.25">
      <c r="A310" s="435"/>
      <c r="B310" s="435"/>
      <c r="C310" s="435"/>
      <c r="D310" s="435"/>
      <c r="E310" s="435"/>
      <c r="F310" s="435"/>
      <c r="G310" s="435"/>
      <c r="H310" s="435"/>
    </row>
    <row r="311" spans="1:8" x14ac:dyDescent="0.25">
      <c r="A311" s="435"/>
      <c r="B311" s="435"/>
      <c r="C311" s="435"/>
      <c r="D311" s="435"/>
      <c r="E311" s="435"/>
      <c r="F311" s="435"/>
      <c r="G311" s="435"/>
      <c r="H311" s="435"/>
    </row>
    <row r="312" spans="1:8" x14ac:dyDescent="0.25">
      <c r="A312" s="435"/>
      <c r="B312" s="435"/>
      <c r="C312" s="435"/>
      <c r="D312" s="435"/>
      <c r="E312" s="435"/>
      <c r="F312" s="435"/>
      <c r="G312" s="435"/>
      <c r="H312" s="435"/>
    </row>
    <row r="313" spans="1:8" x14ac:dyDescent="0.25">
      <c r="A313" s="435"/>
      <c r="B313" s="435"/>
      <c r="C313" s="435"/>
      <c r="D313" s="435"/>
      <c r="E313" s="435"/>
      <c r="F313" s="435"/>
      <c r="G313" s="435"/>
      <c r="H313" s="435"/>
    </row>
    <row r="314" spans="1:8" x14ac:dyDescent="0.25">
      <c r="A314" s="435"/>
      <c r="B314" s="435"/>
      <c r="C314" s="435"/>
      <c r="D314" s="435"/>
      <c r="E314" s="435"/>
      <c r="F314" s="435"/>
      <c r="G314" s="435"/>
      <c r="H314" s="435"/>
    </row>
    <row r="315" spans="1:8" x14ac:dyDescent="0.25">
      <c r="A315" s="435"/>
      <c r="B315" s="435"/>
      <c r="C315" s="435"/>
      <c r="D315" s="435"/>
      <c r="E315" s="435"/>
      <c r="F315" s="435"/>
      <c r="G315" s="435"/>
      <c r="H315" s="435"/>
    </row>
    <row r="316" spans="1:8" x14ac:dyDescent="0.25">
      <c r="A316" s="435"/>
      <c r="B316" s="435"/>
      <c r="C316" s="435"/>
      <c r="D316" s="435"/>
      <c r="E316" s="435"/>
      <c r="F316" s="435"/>
      <c r="G316" s="435"/>
      <c r="H316" s="435"/>
    </row>
    <row r="317" spans="1:8" x14ac:dyDescent="0.25">
      <c r="A317" s="435"/>
      <c r="B317" s="435"/>
      <c r="C317" s="435"/>
      <c r="D317" s="435"/>
      <c r="E317" s="435"/>
      <c r="F317" s="435"/>
      <c r="G317" s="435"/>
      <c r="H317" s="435"/>
    </row>
    <row r="318" spans="1:8" x14ac:dyDescent="0.25">
      <c r="A318" s="435"/>
      <c r="B318" s="435"/>
      <c r="C318" s="435"/>
      <c r="D318" s="435"/>
      <c r="E318" s="435"/>
      <c r="F318" s="435"/>
      <c r="G318" s="435"/>
      <c r="H318" s="435"/>
    </row>
    <row r="319" spans="1:8" x14ac:dyDescent="0.25">
      <c r="A319" s="435"/>
      <c r="B319" s="435"/>
      <c r="C319" s="435"/>
      <c r="D319" s="435"/>
      <c r="E319" s="435"/>
      <c r="F319" s="435"/>
      <c r="G319" s="435"/>
      <c r="H319" s="435"/>
    </row>
    <row r="320" spans="1:8" x14ac:dyDescent="0.25">
      <c r="A320" s="435"/>
      <c r="B320" s="435"/>
      <c r="C320" s="435"/>
      <c r="D320" s="435"/>
      <c r="E320" s="435"/>
      <c r="F320" s="435"/>
      <c r="G320" s="435"/>
      <c r="H320" s="435"/>
    </row>
    <row r="321" spans="1:8" x14ac:dyDescent="0.25">
      <c r="A321" s="435"/>
      <c r="B321" s="435"/>
      <c r="C321" s="435"/>
      <c r="D321" s="435"/>
      <c r="E321" s="435"/>
      <c r="F321" s="435"/>
      <c r="G321" s="435"/>
      <c r="H321" s="435"/>
    </row>
    <row r="322" spans="1:8" x14ac:dyDescent="0.25">
      <c r="A322" s="435"/>
      <c r="B322" s="435"/>
      <c r="C322" s="435"/>
      <c r="D322" s="435"/>
      <c r="E322" s="435"/>
      <c r="F322" s="435"/>
      <c r="G322" s="435"/>
      <c r="H322" s="435"/>
    </row>
    <row r="323" spans="1:8" x14ac:dyDescent="0.25">
      <c r="A323" s="435"/>
      <c r="B323" s="435"/>
      <c r="C323" s="435"/>
      <c r="D323" s="435"/>
      <c r="E323" s="435"/>
      <c r="F323" s="435"/>
      <c r="G323" s="435"/>
      <c r="H323" s="435"/>
    </row>
    <row r="324" spans="1:8" x14ac:dyDescent="0.25">
      <c r="A324" s="435"/>
      <c r="B324" s="435"/>
      <c r="C324" s="435"/>
      <c r="D324" s="435"/>
      <c r="E324" s="435"/>
      <c r="F324" s="435"/>
      <c r="G324" s="435"/>
      <c r="H324" s="435"/>
    </row>
    <row r="325" spans="1:8" x14ac:dyDescent="0.25">
      <c r="A325" s="435"/>
      <c r="B325" s="435"/>
      <c r="C325" s="435"/>
      <c r="D325" s="435"/>
      <c r="E325" s="435"/>
      <c r="F325" s="435"/>
      <c r="G325" s="435"/>
      <c r="H325" s="435"/>
    </row>
    <row r="326" spans="1:8" x14ac:dyDescent="0.25">
      <c r="A326" s="435"/>
      <c r="B326" s="435"/>
      <c r="C326" s="435"/>
      <c r="D326" s="435"/>
      <c r="E326" s="435"/>
      <c r="F326" s="435"/>
      <c r="G326" s="435"/>
      <c r="H326" s="435"/>
    </row>
    <row r="327" spans="1:8" x14ac:dyDescent="0.25">
      <c r="A327" s="435"/>
      <c r="B327" s="435"/>
      <c r="C327" s="435"/>
      <c r="D327" s="435"/>
      <c r="E327" s="435"/>
      <c r="F327" s="435"/>
      <c r="G327" s="435"/>
      <c r="H327" s="435"/>
    </row>
    <row r="328" spans="1:8" x14ac:dyDescent="0.25">
      <c r="A328" s="435"/>
      <c r="B328" s="435"/>
      <c r="C328" s="435"/>
      <c r="D328" s="435"/>
      <c r="E328" s="435"/>
      <c r="F328" s="435"/>
      <c r="G328" s="435"/>
      <c r="H328" s="435"/>
    </row>
    <row r="329" spans="1:8" x14ac:dyDescent="0.25">
      <c r="A329" s="435"/>
      <c r="B329" s="435"/>
      <c r="C329" s="435"/>
      <c r="D329" s="435"/>
      <c r="E329" s="435"/>
      <c r="F329" s="435"/>
      <c r="G329" s="435"/>
      <c r="H329" s="435"/>
    </row>
    <row r="330" spans="1:8" x14ac:dyDescent="0.25">
      <c r="A330" s="435"/>
      <c r="B330" s="435"/>
      <c r="C330" s="435"/>
      <c r="D330" s="435"/>
      <c r="E330" s="435"/>
      <c r="F330" s="435"/>
      <c r="G330" s="435"/>
      <c r="H330" s="435"/>
    </row>
    <row r="331" spans="1:8" x14ac:dyDescent="0.25">
      <c r="A331" s="435"/>
      <c r="B331" s="435"/>
      <c r="C331" s="435"/>
      <c r="D331" s="435"/>
      <c r="E331" s="435"/>
      <c r="F331" s="435"/>
      <c r="G331" s="435"/>
      <c r="H331" s="435"/>
    </row>
    <row r="332" spans="1:8" x14ac:dyDescent="0.25">
      <c r="A332" s="435"/>
      <c r="B332" s="435"/>
      <c r="C332" s="435"/>
      <c r="D332" s="435"/>
      <c r="E332" s="435"/>
      <c r="F332" s="435"/>
      <c r="G332" s="435"/>
      <c r="H332" s="435"/>
    </row>
    <row r="333" spans="1:8" x14ac:dyDescent="0.25">
      <c r="A333" s="435"/>
      <c r="B333" s="435"/>
      <c r="C333" s="435"/>
      <c r="D333" s="435"/>
      <c r="E333" s="435"/>
      <c r="F333" s="435"/>
      <c r="G333" s="435"/>
      <c r="H333" s="435"/>
    </row>
    <row r="334" spans="1:8" x14ac:dyDescent="0.25">
      <c r="A334" s="435"/>
      <c r="B334" s="435"/>
      <c r="C334" s="435"/>
      <c r="D334" s="435"/>
      <c r="E334" s="435"/>
      <c r="F334" s="435"/>
      <c r="G334" s="435"/>
      <c r="H334" s="435"/>
    </row>
    <row r="335" spans="1:8" x14ac:dyDescent="0.25">
      <c r="A335" s="435"/>
      <c r="B335" s="435"/>
      <c r="C335" s="435"/>
      <c r="D335" s="435"/>
      <c r="E335" s="435"/>
      <c r="F335" s="435"/>
      <c r="G335" s="435"/>
      <c r="H335" s="435"/>
    </row>
    <row r="336" spans="1:8" x14ac:dyDescent="0.25">
      <c r="A336" s="435"/>
      <c r="B336" s="435"/>
      <c r="C336" s="435"/>
      <c r="D336" s="435"/>
      <c r="E336" s="435"/>
      <c r="F336" s="435"/>
      <c r="G336" s="435"/>
      <c r="H336" s="435"/>
    </row>
    <row r="337" spans="1:8" x14ac:dyDescent="0.25">
      <c r="A337" s="435"/>
      <c r="B337" s="435"/>
      <c r="C337" s="435"/>
      <c r="D337" s="435"/>
      <c r="E337" s="435"/>
      <c r="F337" s="435"/>
      <c r="G337" s="435"/>
      <c r="H337" s="435"/>
    </row>
    <row r="338" spans="1:8" x14ac:dyDescent="0.25">
      <c r="A338" s="435"/>
      <c r="B338" s="435"/>
      <c r="C338" s="435"/>
      <c r="D338" s="435"/>
      <c r="E338" s="435"/>
      <c r="F338" s="435"/>
      <c r="G338" s="435"/>
      <c r="H338" s="435"/>
    </row>
    <row r="339" spans="1:8" x14ac:dyDescent="0.25">
      <c r="A339" s="435"/>
      <c r="B339" s="435"/>
      <c r="C339" s="435"/>
      <c r="D339" s="435"/>
      <c r="E339" s="435"/>
      <c r="F339" s="435"/>
      <c r="G339" s="435"/>
      <c r="H339" s="435"/>
    </row>
    <row r="340" spans="1:8" x14ac:dyDescent="0.25">
      <c r="A340" s="435"/>
      <c r="B340" s="435"/>
      <c r="C340" s="435"/>
      <c r="D340" s="435"/>
      <c r="E340" s="435"/>
      <c r="F340" s="435"/>
      <c r="G340" s="435"/>
      <c r="H340" s="435"/>
    </row>
    <row r="341" spans="1:8" x14ac:dyDescent="0.25">
      <c r="A341" s="435"/>
      <c r="B341" s="435"/>
      <c r="C341" s="435"/>
      <c r="D341" s="435"/>
      <c r="E341" s="435"/>
      <c r="F341" s="435"/>
      <c r="G341" s="435"/>
      <c r="H341" s="435"/>
    </row>
    <row r="342" spans="1:8" x14ac:dyDescent="0.25">
      <c r="A342" s="435"/>
      <c r="B342" s="435"/>
      <c r="C342" s="435"/>
      <c r="D342" s="435"/>
      <c r="E342" s="435"/>
      <c r="F342" s="435"/>
      <c r="G342" s="435"/>
      <c r="H342" s="435"/>
    </row>
    <row r="343" spans="1:8" x14ac:dyDescent="0.25">
      <c r="A343" s="435"/>
      <c r="B343" s="435"/>
      <c r="C343" s="435"/>
      <c r="D343" s="435"/>
      <c r="E343" s="435"/>
      <c r="F343" s="435"/>
      <c r="G343" s="435"/>
      <c r="H343" s="435"/>
    </row>
    <row r="344" spans="1:8" x14ac:dyDescent="0.25">
      <c r="A344" s="435"/>
      <c r="B344" s="435"/>
      <c r="C344" s="435"/>
      <c r="D344" s="435"/>
      <c r="E344" s="435"/>
      <c r="F344" s="435"/>
      <c r="G344" s="435"/>
      <c r="H344" s="435"/>
    </row>
    <row r="345" spans="1:8" x14ac:dyDescent="0.25">
      <c r="A345" s="435"/>
      <c r="B345" s="435"/>
      <c r="C345" s="435"/>
      <c r="D345" s="435"/>
      <c r="E345" s="435"/>
      <c r="F345" s="435"/>
      <c r="G345" s="435"/>
      <c r="H345" s="435"/>
    </row>
    <row r="346" spans="1:8" x14ac:dyDescent="0.25">
      <c r="A346" s="435"/>
      <c r="B346" s="435"/>
      <c r="C346" s="435"/>
      <c r="D346" s="435"/>
      <c r="E346" s="435"/>
      <c r="F346" s="435"/>
      <c r="G346" s="435"/>
      <c r="H346" s="435"/>
    </row>
    <row r="347" spans="1:8" x14ac:dyDescent="0.25">
      <c r="A347" s="435"/>
      <c r="B347" s="435"/>
      <c r="C347" s="435"/>
      <c r="D347" s="435"/>
      <c r="E347" s="435"/>
      <c r="F347" s="435"/>
      <c r="G347" s="435"/>
      <c r="H347" s="435"/>
    </row>
    <row r="348" spans="1:8" x14ac:dyDescent="0.25">
      <c r="A348" s="435"/>
      <c r="B348" s="435"/>
      <c r="C348" s="435"/>
      <c r="D348" s="435"/>
      <c r="E348" s="435"/>
      <c r="F348" s="435"/>
      <c r="G348" s="435"/>
      <c r="H348" s="435"/>
    </row>
    <row r="349" spans="1:8" x14ac:dyDescent="0.25">
      <c r="A349" s="435"/>
      <c r="B349" s="435"/>
      <c r="C349" s="435"/>
      <c r="D349" s="435"/>
      <c r="E349" s="435"/>
      <c r="F349" s="435"/>
      <c r="G349" s="435"/>
      <c r="H349" s="435"/>
    </row>
    <row r="350" spans="1:8" x14ac:dyDescent="0.25">
      <c r="A350" s="435"/>
      <c r="B350" s="435"/>
      <c r="C350" s="435"/>
      <c r="D350" s="435"/>
      <c r="E350" s="435"/>
      <c r="F350" s="435"/>
      <c r="G350" s="435"/>
      <c r="H350" s="435"/>
    </row>
    <row r="351" spans="1:8" x14ac:dyDescent="0.25">
      <c r="A351" s="435"/>
      <c r="B351" s="435"/>
      <c r="C351" s="435"/>
      <c r="D351" s="435"/>
      <c r="E351" s="435"/>
      <c r="F351" s="435"/>
      <c r="G351" s="435"/>
      <c r="H351" s="435"/>
    </row>
    <row r="352" spans="1:8" x14ac:dyDescent="0.25">
      <c r="A352" s="435"/>
      <c r="B352" s="435"/>
      <c r="C352" s="435"/>
      <c r="D352" s="435"/>
      <c r="E352" s="435"/>
      <c r="F352" s="435"/>
      <c r="G352" s="435"/>
      <c r="H352" s="435"/>
    </row>
    <row r="353" spans="1:8" x14ac:dyDescent="0.25">
      <c r="A353" s="435"/>
      <c r="B353" s="435"/>
      <c r="C353" s="435"/>
      <c r="D353" s="435"/>
      <c r="E353" s="435"/>
      <c r="F353" s="435"/>
      <c r="G353" s="435"/>
      <c r="H353" s="435"/>
    </row>
    <row r="354" spans="1:8" x14ac:dyDescent="0.25">
      <c r="A354" s="435"/>
      <c r="B354" s="435"/>
      <c r="C354" s="435"/>
      <c r="D354" s="435"/>
      <c r="E354" s="435"/>
      <c r="F354" s="435"/>
      <c r="G354" s="435"/>
      <c r="H354" s="435"/>
    </row>
    <row r="355" spans="1:8" x14ac:dyDescent="0.25">
      <c r="A355" s="435"/>
      <c r="B355" s="435"/>
      <c r="C355" s="435"/>
      <c r="D355" s="435"/>
      <c r="E355" s="435"/>
      <c r="F355" s="435"/>
      <c r="G355" s="435"/>
      <c r="H355" s="435"/>
    </row>
    <row r="356" spans="1:8" x14ac:dyDescent="0.25">
      <c r="A356" s="435"/>
      <c r="B356" s="435"/>
      <c r="C356" s="435"/>
      <c r="D356" s="435"/>
      <c r="E356" s="435"/>
      <c r="F356" s="435"/>
      <c r="G356" s="435"/>
      <c r="H356" s="435"/>
    </row>
    <row r="357" spans="1:8" x14ac:dyDescent="0.25">
      <c r="A357" s="435"/>
      <c r="B357" s="435"/>
      <c r="C357" s="435"/>
      <c r="D357" s="435"/>
      <c r="E357" s="435"/>
      <c r="F357" s="435"/>
      <c r="G357" s="435"/>
      <c r="H357" s="435"/>
    </row>
  </sheetData>
  <mergeCells count="1">
    <mergeCell ref="A2:A3"/>
  </mergeCells>
  <phoneticPr fontId="14"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3C8C7-9BB3-4A0E-8DE8-0E74F932433F}">
  <sheetPr>
    <tabColor theme="9" tint="0.59999389629810485"/>
  </sheetPr>
  <dimension ref="A1:AN381"/>
  <sheetViews>
    <sheetView workbookViewId="0">
      <pane ySplit="1" topLeftCell="A2" activePane="bottomLeft" state="frozen"/>
      <selection activeCell="M2" sqref="M2:M85"/>
      <selection pane="bottomLeft" activeCell="A2" sqref="A2:B2"/>
    </sheetView>
  </sheetViews>
  <sheetFormatPr defaultColWidth="9.140625" defaultRowHeight="15" x14ac:dyDescent="0.25"/>
  <cols>
    <col min="1" max="1" width="36.5703125" customWidth="1"/>
    <col min="2" max="2" width="69.5703125" customWidth="1"/>
    <col min="3" max="40" width="9.140625" style="3"/>
  </cols>
  <sheetData>
    <row r="1" spans="1:5" ht="21" x14ac:dyDescent="0.25">
      <c r="A1" s="547" t="s">
        <v>597</v>
      </c>
      <c r="B1" s="548"/>
      <c r="D1" s="3" t="s">
        <v>598</v>
      </c>
    </row>
    <row r="2" spans="1:5" ht="48.6" customHeight="1" x14ac:dyDescent="0.25">
      <c r="A2" s="549" t="s">
        <v>599</v>
      </c>
      <c r="B2" s="550"/>
    </row>
    <row r="3" spans="1:5" ht="89.45" customHeight="1" x14ac:dyDescent="0.25">
      <c r="A3" s="551" t="s">
        <v>600</v>
      </c>
      <c r="B3" s="551"/>
    </row>
    <row r="4" spans="1:5" x14ac:dyDescent="0.25">
      <c r="A4" s="517" t="s">
        <v>449</v>
      </c>
      <c r="B4" s="153" t="s">
        <v>601</v>
      </c>
    </row>
    <row r="5" spans="1:5" x14ac:dyDescent="0.25">
      <c r="A5" s="517" t="s">
        <v>450</v>
      </c>
      <c r="B5" s="153" t="s">
        <v>602</v>
      </c>
      <c r="E5" s="189"/>
    </row>
    <row r="6" spans="1:5" ht="45" hidden="1" x14ac:dyDescent="0.25">
      <c r="A6" s="517" t="s">
        <v>451</v>
      </c>
      <c r="B6" s="153" t="s">
        <v>603</v>
      </c>
    </row>
    <row r="7" spans="1:5" hidden="1" x14ac:dyDescent="0.25">
      <c r="A7" s="517" t="s">
        <v>452</v>
      </c>
      <c r="B7" s="153" t="s">
        <v>604</v>
      </c>
    </row>
    <row r="8" spans="1:5" hidden="1" x14ac:dyDescent="0.25">
      <c r="A8" s="517" t="s">
        <v>605</v>
      </c>
      <c r="B8" s="153" t="s">
        <v>606</v>
      </c>
    </row>
    <row r="9" spans="1:5" ht="30" hidden="1" x14ac:dyDescent="0.25">
      <c r="A9" s="517" t="s">
        <v>454</v>
      </c>
      <c r="B9" s="153" t="s">
        <v>607</v>
      </c>
    </row>
    <row r="10" spans="1:5" ht="60" hidden="1" x14ac:dyDescent="0.25">
      <c r="A10" s="517" t="s">
        <v>455</v>
      </c>
      <c r="B10" s="153" t="s">
        <v>608</v>
      </c>
    </row>
    <row r="11" spans="1:5" hidden="1" x14ac:dyDescent="0.25">
      <c r="A11" s="546" t="s">
        <v>609</v>
      </c>
      <c r="B11" s="153" t="s">
        <v>610</v>
      </c>
    </row>
    <row r="12" spans="1:5" hidden="1" x14ac:dyDescent="0.25">
      <c r="A12" s="546"/>
      <c r="B12" s="153" t="s">
        <v>611</v>
      </c>
    </row>
    <row r="13" spans="1:5" hidden="1" x14ac:dyDescent="0.25">
      <c r="A13" s="546"/>
      <c r="B13" s="153" t="s">
        <v>612</v>
      </c>
    </row>
    <row r="14" spans="1:5" hidden="1" x14ac:dyDescent="0.25">
      <c r="A14" s="546"/>
      <c r="B14" s="153" t="s">
        <v>613</v>
      </c>
    </row>
    <row r="15" spans="1:5" hidden="1" x14ac:dyDescent="0.25">
      <c r="A15" s="546"/>
      <c r="B15" s="153" t="s">
        <v>614</v>
      </c>
    </row>
    <row r="16" spans="1:5" hidden="1" x14ac:dyDescent="0.25">
      <c r="A16" s="546"/>
      <c r="B16" s="153" t="s">
        <v>615</v>
      </c>
    </row>
    <row r="17" spans="1:2" hidden="1" x14ac:dyDescent="0.25">
      <c r="A17" s="546"/>
      <c r="B17" s="153" t="s">
        <v>616</v>
      </c>
    </row>
    <row r="18" spans="1:2" hidden="1" x14ac:dyDescent="0.25">
      <c r="A18" s="546"/>
      <c r="B18" s="153" t="s">
        <v>617</v>
      </c>
    </row>
    <row r="19" spans="1:2" hidden="1" x14ac:dyDescent="0.25">
      <c r="A19" s="546"/>
      <c r="B19" s="153" t="s">
        <v>618</v>
      </c>
    </row>
    <row r="20" spans="1:2" hidden="1" x14ac:dyDescent="0.25">
      <c r="A20" s="546"/>
      <c r="B20" s="153" t="s">
        <v>619</v>
      </c>
    </row>
    <row r="21" spans="1:2" hidden="1" x14ac:dyDescent="0.25">
      <c r="A21" s="517" t="s">
        <v>457</v>
      </c>
      <c r="B21" s="153" t="s">
        <v>620</v>
      </c>
    </row>
    <row r="22" spans="1:2" hidden="1" x14ac:dyDescent="0.25">
      <c r="A22" s="517" t="s">
        <v>458</v>
      </c>
      <c r="B22" s="153" t="s">
        <v>621</v>
      </c>
    </row>
    <row r="23" spans="1:2" hidden="1" x14ac:dyDescent="0.25">
      <c r="A23" s="546" t="s">
        <v>459</v>
      </c>
      <c r="B23" s="153" t="s">
        <v>622</v>
      </c>
    </row>
    <row r="24" spans="1:2" hidden="1" x14ac:dyDescent="0.25">
      <c r="A24" s="546"/>
      <c r="B24" s="153" t="s">
        <v>623</v>
      </c>
    </row>
    <row r="25" spans="1:2" hidden="1" x14ac:dyDescent="0.25">
      <c r="A25" s="546"/>
      <c r="B25" s="153" t="s">
        <v>624</v>
      </c>
    </row>
    <row r="26" spans="1:2" hidden="1" x14ac:dyDescent="0.25">
      <c r="A26" s="546"/>
      <c r="B26" s="153" t="s">
        <v>625</v>
      </c>
    </row>
    <row r="27" spans="1:2" hidden="1" x14ac:dyDescent="0.25">
      <c r="A27" s="546"/>
      <c r="B27" s="153" t="s">
        <v>626</v>
      </c>
    </row>
    <row r="28" spans="1:2" ht="165" x14ac:dyDescent="0.25">
      <c r="A28" s="517" t="s">
        <v>627</v>
      </c>
      <c r="B28" s="153" t="s">
        <v>628</v>
      </c>
    </row>
    <row r="29" spans="1:2" hidden="1" x14ac:dyDescent="0.25">
      <c r="A29" s="517" t="s">
        <v>461</v>
      </c>
      <c r="B29" s="153" t="s">
        <v>629</v>
      </c>
    </row>
    <row r="30" spans="1:2" ht="30" hidden="1" x14ac:dyDescent="0.25">
      <c r="A30" s="517" t="s">
        <v>630</v>
      </c>
      <c r="B30" s="153" t="s">
        <v>631</v>
      </c>
    </row>
    <row r="31" spans="1:2" ht="60" hidden="1" x14ac:dyDescent="0.25">
      <c r="A31" s="517" t="s">
        <v>463</v>
      </c>
      <c r="B31" s="153" t="s">
        <v>632</v>
      </c>
    </row>
    <row r="32" spans="1:2" ht="75" hidden="1" x14ac:dyDescent="0.25">
      <c r="A32" s="517" t="s">
        <v>633</v>
      </c>
      <c r="B32" s="153" t="s">
        <v>634</v>
      </c>
    </row>
    <row r="33" spans="1:2" ht="75" hidden="1" x14ac:dyDescent="0.25">
      <c r="A33" s="517" t="s">
        <v>635</v>
      </c>
      <c r="B33" s="153" t="s">
        <v>636</v>
      </c>
    </row>
    <row r="34" spans="1:2" ht="45" hidden="1" x14ac:dyDescent="0.25">
      <c r="A34" s="517" t="s">
        <v>466</v>
      </c>
      <c r="B34" s="153" t="s">
        <v>637</v>
      </c>
    </row>
    <row r="35" spans="1:2" ht="30" hidden="1" x14ac:dyDescent="0.25">
      <c r="A35" s="517" t="s">
        <v>467</v>
      </c>
      <c r="B35" s="153" t="s">
        <v>638</v>
      </c>
    </row>
    <row r="36" spans="1:2" ht="30" hidden="1" x14ac:dyDescent="0.25">
      <c r="A36" s="517" t="s">
        <v>468</v>
      </c>
      <c r="B36" s="153" t="s">
        <v>639</v>
      </c>
    </row>
    <row r="37" spans="1:2" hidden="1" x14ac:dyDescent="0.25">
      <c r="A37" s="517" t="s">
        <v>640</v>
      </c>
      <c r="B37" s="153" t="s">
        <v>641</v>
      </c>
    </row>
    <row r="38" spans="1:2" ht="30" hidden="1" x14ac:dyDescent="0.25">
      <c r="A38" s="517" t="s">
        <v>469</v>
      </c>
      <c r="B38" s="153" t="s">
        <v>642</v>
      </c>
    </row>
    <row r="39" spans="1:2" x14ac:dyDescent="0.25">
      <c r="A39" s="517" t="s">
        <v>470</v>
      </c>
      <c r="B39" s="153" t="s">
        <v>643</v>
      </c>
    </row>
    <row r="40" spans="1:2" x14ac:dyDescent="0.25">
      <c r="A40" s="517" t="s">
        <v>471</v>
      </c>
      <c r="B40" s="153" t="s">
        <v>644</v>
      </c>
    </row>
    <row r="41" spans="1:2" ht="45" hidden="1" x14ac:dyDescent="0.25">
      <c r="A41" s="517" t="s">
        <v>472</v>
      </c>
      <c r="B41" s="153" t="s">
        <v>645</v>
      </c>
    </row>
    <row r="42" spans="1:2" ht="45" hidden="1" x14ac:dyDescent="0.25">
      <c r="A42" s="517" t="s">
        <v>473</v>
      </c>
      <c r="B42" s="153" t="s">
        <v>646</v>
      </c>
    </row>
    <row r="43" spans="1:2" hidden="1" x14ac:dyDescent="0.25">
      <c r="A43" s="517" t="s">
        <v>474</v>
      </c>
      <c r="B43" s="153" t="s">
        <v>647</v>
      </c>
    </row>
    <row r="44" spans="1:2" ht="45" hidden="1" x14ac:dyDescent="0.25">
      <c r="A44" s="517" t="s">
        <v>475</v>
      </c>
      <c r="B44" s="153" t="s">
        <v>648</v>
      </c>
    </row>
    <row r="45" spans="1:2" ht="105" hidden="1" x14ac:dyDescent="0.25">
      <c r="A45" s="517" t="s">
        <v>476</v>
      </c>
      <c r="B45" s="153" t="s">
        <v>649</v>
      </c>
    </row>
    <row r="46" spans="1:2" ht="165" hidden="1" x14ac:dyDescent="0.25">
      <c r="A46" s="517" t="s">
        <v>650</v>
      </c>
      <c r="B46" s="153" t="s">
        <v>651</v>
      </c>
    </row>
    <row r="47" spans="1:2" ht="105" hidden="1" x14ac:dyDescent="0.25">
      <c r="A47" s="517" t="s">
        <v>652</v>
      </c>
      <c r="B47" s="153" t="s">
        <v>653</v>
      </c>
    </row>
    <row r="48" spans="1:2" ht="105" hidden="1" x14ac:dyDescent="0.25">
      <c r="A48" s="517" t="s">
        <v>654</v>
      </c>
      <c r="B48" s="153" t="s">
        <v>655</v>
      </c>
    </row>
    <row r="49" spans="1:2" ht="45" hidden="1" x14ac:dyDescent="0.25">
      <c r="A49" s="517" t="s">
        <v>480</v>
      </c>
      <c r="B49" s="153" t="s">
        <v>656</v>
      </c>
    </row>
    <row r="50" spans="1:2" ht="45" hidden="1" x14ac:dyDescent="0.25">
      <c r="A50" s="517" t="s">
        <v>481</v>
      </c>
      <c r="B50" s="153" t="s">
        <v>657</v>
      </c>
    </row>
    <row r="51" spans="1:2" x14ac:dyDescent="0.25">
      <c r="A51" s="546" t="s">
        <v>658</v>
      </c>
      <c r="B51" s="153" t="s">
        <v>659</v>
      </c>
    </row>
    <row r="52" spans="1:2" x14ac:dyDescent="0.25">
      <c r="A52" s="546"/>
      <c r="B52" s="153" t="s">
        <v>660</v>
      </c>
    </row>
    <row r="53" spans="1:2" x14ac:dyDescent="0.25">
      <c r="A53" s="546"/>
      <c r="B53" s="153" t="s">
        <v>661</v>
      </c>
    </row>
    <row r="54" spans="1:2" x14ac:dyDescent="0.25">
      <c r="A54" s="546"/>
      <c r="B54" s="153" t="s">
        <v>662</v>
      </c>
    </row>
    <row r="55" spans="1:2" x14ac:dyDescent="0.25">
      <c r="A55" s="546"/>
      <c r="B55" s="153" t="s">
        <v>663</v>
      </c>
    </row>
    <row r="56" spans="1:2" x14ac:dyDescent="0.25">
      <c r="A56" s="546"/>
      <c r="B56" s="153" t="s">
        <v>664</v>
      </c>
    </row>
    <row r="57" spans="1:2" x14ac:dyDescent="0.25">
      <c r="A57" s="546"/>
      <c r="B57" s="153" t="s">
        <v>665</v>
      </c>
    </row>
    <row r="58" spans="1:2" x14ac:dyDescent="0.25">
      <c r="A58" s="546"/>
      <c r="B58" s="153" t="s">
        <v>666</v>
      </c>
    </row>
    <row r="59" spans="1:2" ht="30" x14ac:dyDescent="0.25">
      <c r="A59" s="546"/>
      <c r="B59" s="153" t="s">
        <v>667</v>
      </c>
    </row>
    <row r="60" spans="1:2" ht="45" hidden="1" x14ac:dyDescent="0.25">
      <c r="A60" s="517" t="s">
        <v>483</v>
      </c>
      <c r="B60" s="153" t="s">
        <v>668</v>
      </c>
    </row>
    <row r="61" spans="1:2" ht="30" hidden="1" x14ac:dyDescent="0.25">
      <c r="A61" s="517" t="s">
        <v>669</v>
      </c>
      <c r="B61" s="153" t="s">
        <v>670</v>
      </c>
    </row>
    <row r="62" spans="1:2" ht="30" hidden="1" x14ac:dyDescent="0.25">
      <c r="A62" s="517" t="s">
        <v>485</v>
      </c>
      <c r="B62" s="153" t="s">
        <v>671</v>
      </c>
    </row>
    <row r="63" spans="1:2" ht="30" hidden="1" x14ac:dyDescent="0.25">
      <c r="A63" s="517" t="s">
        <v>486</v>
      </c>
      <c r="B63" s="153" t="s">
        <v>672</v>
      </c>
    </row>
    <row r="64" spans="1:2" ht="30" hidden="1" x14ac:dyDescent="0.25">
      <c r="A64" s="517" t="s">
        <v>487</v>
      </c>
      <c r="B64" s="153" t="s">
        <v>673</v>
      </c>
    </row>
    <row r="65" spans="1:2" ht="60" hidden="1" x14ac:dyDescent="0.25">
      <c r="A65" s="517" t="s">
        <v>488</v>
      </c>
      <c r="B65" s="153" t="s">
        <v>674</v>
      </c>
    </row>
    <row r="66" spans="1:2" ht="60" hidden="1" x14ac:dyDescent="0.25">
      <c r="A66" s="517" t="s">
        <v>489</v>
      </c>
      <c r="B66" s="153" t="s">
        <v>675</v>
      </c>
    </row>
    <row r="67" spans="1:2" ht="30" hidden="1" x14ac:dyDescent="0.25">
      <c r="A67" s="517" t="s">
        <v>490</v>
      </c>
      <c r="B67" s="153" t="s">
        <v>676</v>
      </c>
    </row>
    <row r="68" spans="1:2" ht="30" hidden="1" x14ac:dyDescent="0.25">
      <c r="A68" s="517" t="s">
        <v>491</v>
      </c>
      <c r="B68" s="153" t="s">
        <v>677</v>
      </c>
    </row>
    <row r="69" spans="1:2" ht="30" hidden="1" x14ac:dyDescent="0.25">
      <c r="A69" s="517" t="s">
        <v>492</v>
      </c>
      <c r="B69" s="153" t="s">
        <v>678</v>
      </c>
    </row>
    <row r="70" spans="1:2" ht="60" hidden="1" x14ac:dyDescent="0.25">
      <c r="A70" s="517" t="s">
        <v>493</v>
      </c>
      <c r="B70" s="153" t="s">
        <v>679</v>
      </c>
    </row>
    <row r="71" spans="1:2" ht="60" hidden="1" x14ac:dyDescent="0.25">
      <c r="A71" s="517" t="s">
        <v>494</v>
      </c>
      <c r="B71" s="153" t="s">
        <v>680</v>
      </c>
    </row>
    <row r="72" spans="1:2" ht="120" x14ac:dyDescent="0.25">
      <c r="A72" s="517" t="s">
        <v>495</v>
      </c>
      <c r="B72" s="153" t="s">
        <v>681</v>
      </c>
    </row>
    <row r="73" spans="1:2" ht="30" hidden="1" x14ac:dyDescent="0.25">
      <c r="A73" s="517" t="s">
        <v>496</v>
      </c>
      <c r="B73" s="153" t="s">
        <v>682</v>
      </c>
    </row>
    <row r="74" spans="1:2" ht="30" hidden="1" x14ac:dyDescent="0.25">
      <c r="A74" s="517" t="s">
        <v>497</v>
      </c>
      <c r="B74" s="153" t="s">
        <v>683</v>
      </c>
    </row>
    <row r="75" spans="1:2" ht="30" hidden="1" x14ac:dyDescent="0.25">
      <c r="A75" s="517" t="s">
        <v>498</v>
      </c>
      <c r="B75" s="153" t="s">
        <v>684</v>
      </c>
    </row>
    <row r="76" spans="1:2" ht="30" hidden="1" x14ac:dyDescent="0.25">
      <c r="A76" s="517" t="s">
        <v>499</v>
      </c>
      <c r="B76" s="153" t="s">
        <v>685</v>
      </c>
    </row>
    <row r="77" spans="1:2" ht="30" hidden="1" x14ac:dyDescent="0.25">
      <c r="A77" s="517" t="s">
        <v>500</v>
      </c>
      <c r="B77" s="153" t="s">
        <v>686</v>
      </c>
    </row>
    <row r="78" spans="1:2" hidden="1" x14ac:dyDescent="0.25">
      <c r="A78" s="546" t="s">
        <v>687</v>
      </c>
      <c r="B78" s="153" t="s">
        <v>688</v>
      </c>
    </row>
    <row r="79" spans="1:2" ht="30" hidden="1" x14ac:dyDescent="0.25">
      <c r="A79" s="546"/>
      <c r="B79" s="153" t="s">
        <v>689</v>
      </c>
    </row>
    <row r="80" spans="1:2" ht="30" hidden="1" x14ac:dyDescent="0.25">
      <c r="A80" s="517" t="s">
        <v>502</v>
      </c>
      <c r="B80" s="153" t="s">
        <v>690</v>
      </c>
    </row>
    <row r="81" spans="1:2" ht="45" hidden="1" x14ac:dyDescent="0.25">
      <c r="A81" s="517" t="s">
        <v>503</v>
      </c>
      <c r="B81" s="153" t="s">
        <v>691</v>
      </c>
    </row>
    <row r="82" spans="1:2" ht="120" x14ac:dyDescent="0.25">
      <c r="A82" s="517" t="s">
        <v>504</v>
      </c>
      <c r="B82" s="153" t="s">
        <v>692</v>
      </c>
    </row>
    <row r="83" spans="1:2" ht="135" x14ac:dyDescent="0.25">
      <c r="A83" s="517" t="s">
        <v>505</v>
      </c>
      <c r="B83" s="153" t="s">
        <v>693</v>
      </c>
    </row>
    <row r="84" spans="1:2" hidden="1" x14ac:dyDescent="0.25">
      <c r="A84" s="546" t="s">
        <v>506</v>
      </c>
      <c r="B84" s="153" t="s">
        <v>694</v>
      </c>
    </row>
    <row r="85" spans="1:2" hidden="1" x14ac:dyDescent="0.25">
      <c r="A85" s="546"/>
      <c r="B85" s="153" t="s">
        <v>695</v>
      </c>
    </row>
    <row r="86" spans="1:2" hidden="1" x14ac:dyDescent="0.25">
      <c r="A86" s="546"/>
      <c r="B86" s="153" t="s">
        <v>696</v>
      </c>
    </row>
    <row r="87" spans="1:2" hidden="1" x14ac:dyDescent="0.25">
      <c r="A87" s="546"/>
      <c r="B87" s="153" t="s">
        <v>697</v>
      </c>
    </row>
    <row r="88" spans="1:2" hidden="1" x14ac:dyDescent="0.25">
      <c r="A88" s="546"/>
      <c r="B88" s="153" t="s">
        <v>698</v>
      </c>
    </row>
    <row r="89" spans="1:2" ht="60" hidden="1" x14ac:dyDescent="0.25">
      <c r="A89" s="517" t="s">
        <v>507</v>
      </c>
      <c r="B89" s="153" t="s">
        <v>699</v>
      </c>
    </row>
    <row r="90" spans="1:2" ht="75" hidden="1" x14ac:dyDescent="0.25">
      <c r="A90" s="517" t="s">
        <v>508</v>
      </c>
      <c r="B90" s="153" t="s">
        <v>700</v>
      </c>
    </row>
    <row r="91" spans="1:2" ht="75" hidden="1" x14ac:dyDescent="0.25">
      <c r="A91" s="517" t="s">
        <v>509</v>
      </c>
      <c r="B91" s="153" t="s">
        <v>701</v>
      </c>
    </row>
    <row r="92" spans="1:2" s="3" customFormat="1" x14ac:dyDescent="0.25">
      <c r="A92" s="449" t="s">
        <v>702</v>
      </c>
      <c r="B92" s="450"/>
    </row>
    <row r="93" spans="1:2" s="3" customFormat="1" x14ac:dyDescent="0.25">
      <c r="A93" s="451"/>
    </row>
    <row r="94" spans="1:2" s="3" customFormat="1" x14ac:dyDescent="0.25"/>
    <row r="95" spans="1:2" s="3" customFormat="1" x14ac:dyDescent="0.25"/>
    <row r="96" spans="1:2"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row r="346" s="3" customFormat="1" x14ac:dyDescent="0.25"/>
    <row r="347" s="3" customFormat="1" x14ac:dyDescent="0.25"/>
    <row r="348" s="3" customFormat="1" x14ac:dyDescent="0.25"/>
    <row r="349" s="3" customFormat="1" x14ac:dyDescent="0.25"/>
    <row r="350" s="3" customFormat="1" x14ac:dyDescent="0.25"/>
    <row r="351" s="3" customFormat="1" x14ac:dyDescent="0.25"/>
    <row r="352" s="3" customFormat="1" x14ac:dyDescent="0.25"/>
    <row r="353" s="3" customFormat="1" x14ac:dyDescent="0.25"/>
    <row r="354" s="3" customFormat="1" x14ac:dyDescent="0.25"/>
    <row r="355" s="3" customFormat="1" x14ac:dyDescent="0.25"/>
    <row r="356" s="3" customFormat="1" x14ac:dyDescent="0.25"/>
    <row r="357" s="3" customFormat="1" x14ac:dyDescent="0.25"/>
    <row r="358" s="3" customFormat="1" x14ac:dyDescent="0.25"/>
    <row r="359" s="3" customFormat="1" x14ac:dyDescent="0.25"/>
    <row r="360" s="3" customFormat="1" x14ac:dyDescent="0.25"/>
    <row r="361" s="3" customFormat="1" x14ac:dyDescent="0.25"/>
    <row r="362" s="3" customFormat="1" x14ac:dyDescent="0.25"/>
    <row r="363" s="3" customFormat="1" x14ac:dyDescent="0.25"/>
    <row r="364" s="3" customFormat="1" x14ac:dyDescent="0.25"/>
    <row r="365" s="3" customFormat="1" x14ac:dyDescent="0.25"/>
    <row r="366" s="3" customFormat="1" x14ac:dyDescent="0.25"/>
    <row r="367" s="3" customFormat="1" x14ac:dyDescent="0.25"/>
    <row r="368" s="3" customFormat="1" x14ac:dyDescent="0.25"/>
    <row r="369" s="3" customFormat="1" x14ac:dyDescent="0.25"/>
    <row r="370" s="3" customFormat="1" x14ac:dyDescent="0.25"/>
    <row r="371" s="3" customFormat="1" x14ac:dyDescent="0.25"/>
    <row r="372" s="3" customFormat="1" x14ac:dyDescent="0.25"/>
    <row r="373" s="3" customFormat="1" x14ac:dyDescent="0.25"/>
    <row r="374" s="3" customFormat="1" x14ac:dyDescent="0.25"/>
    <row r="375" s="3" customFormat="1" x14ac:dyDescent="0.25"/>
    <row r="376" s="3" customFormat="1" x14ac:dyDescent="0.25"/>
    <row r="377" s="3" customFormat="1" x14ac:dyDescent="0.25"/>
    <row r="378" s="3" customFormat="1" x14ac:dyDescent="0.25"/>
    <row r="379" s="3" customFormat="1" x14ac:dyDescent="0.25"/>
    <row r="380" s="3" customFormat="1" x14ac:dyDescent="0.25"/>
    <row r="381" s="3" customFormat="1" x14ac:dyDescent="0.25"/>
  </sheetData>
  <mergeCells count="8">
    <mergeCell ref="A78:A79"/>
    <mergeCell ref="A84:A88"/>
    <mergeCell ref="A1:B1"/>
    <mergeCell ref="A2:B2"/>
    <mergeCell ref="A3:B3"/>
    <mergeCell ref="A11:A20"/>
    <mergeCell ref="A23:A27"/>
    <mergeCell ref="A51:A59"/>
  </mergeCells>
  <hyperlinks>
    <hyperlink ref="A1:B1" r:id="rId1" display="FY 2025 Final Rule IPPS Impact File" xr:uid="{12FC4542-AACC-442D-9D69-C68FF3FFA7A1}"/>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A383D07DCF1A4A9B22D7FC098ADAD1" ma:contentTypeVersion="31" ma:contentTypeDescription="Create a new document." ma:contentTypeScope="" ma:versionID="e99f811c4244cae47e4d42a0244bc3ae">
  <xsd:schema xmlns:xsd="http://www.w3.org/2001/XMLSchema" xmlns:xs="http://www.w3.org/2001/XMLSchema" xmlns:p="http://schemas.microsoft.com/office/2006/metadata/properties" xmlns:ns2="88bf42df-5a11-40b7-843f-dde3ea0d9320" xmlns:ns3="205bb03d-a2a2-49e0-822d-095c7bd4e585" xmlns:ns4="9755b1d7-a9b7-4be3-8953-f0f9bbbba515" targetNamespace="http://schemas.microsoft.com/office/2006/metadata/properties" ma:root="true" ma:fieldsID="2cd8ce54332c9cba14ba911a496a63e8" ns2:_="" ns3:_="" ns4:_="">
    <xsd:import namespace="88bf42df-5a11-40b7-843f-dde3ea0d9320"/>
    <xsd:import namespace="205bb03d-a2a2-49e0-822d-095c7bd4e585"/>
    <xsd:import namespace="9755b1d7-a9b7-4be3-8953-f0f9bbbba515"/>
    <xsd:element name="properties">
      <xsd:complexType>
        <xsd:sequence>
          <xsd:element name="documentManagement">
            <xsd:complexType>
              <xsd:all>
                <xsd:element ref="ns3:SharedWithUsers" minOccurs="0"/>
                <xsd:element ref="ns3:SharingHintHash" minOccurs="0"/>
                <xsd:element ref="ns4:SharedWithDetails" minOccurs="0"/>
                <xsd:element ref="ns4:LastSharedByUser" minOccurs="0"/>
                <xsd:element ref="ns4:LastSharedByTime"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eClearance_x0020__x002d__x0020_2013"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f42df-5a11-40b7-843f-dde3ea0d9320"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eClearance_x0020__x002d__x0020_2013" ma:index="28" nillable="true" ma:displayName="eClearance - 2013" ma:internalName="eClearance_x0020__x002d__x0020_2013">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00ad1e36-3292-4be9-a1e7-e63c408760a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5bb03d-a2a2-49e0-822d-095c7bd4e58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55b1d7-a9b7-4be3-8953-f0f9bbbba515" elementFormDefault="qualified">
    <xsd:import namespace="http://schemas.microsoft.com/office/2006/documentManagement/types"/>
    <xsd:import namespace="http://schemas.microsoft.com/office/infopath/2007/PartnerControls"/>
    <xsd:element name="SharedWithDetails" ma:index="13" nillable="true" ma:displayName="Shared With Details" ma:internalName="SharedWithDetails" ma:readOnly="true">
      <xsd:simpleType>
        <xsd:restriction base="dms:Note">
          <xsd:maxLength value="255"/>
        </xsd:restrictio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element name="TaxCatchAll" ma:index="32" nillable="true" ma:displayName="Taxonomy Catch All Column" ma:hidden="true" ma:list="{049bfdc5-8783-49eb-9830-a7055166c6d7}" ma:internalName="TaxCatchAll" ma:showField="CatchAllData" ma:web="9755b1d7-a9b7-4be3-8953-f0f9bbbba5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C Y E A A B Q S w M E F A A C A A g A p W R r W k t A w O O k A A A A 9 g A A A B I A H A B D b 2 5 m a W c v U G F j a 2 F n Z S 5 4 b W w g o h g A K K A U A A A A A A A A A A A A A A A A A A A A A A A A A A A A h Y 9 B D o I w F E S v Q r q n L Y i J I Z + y c C u J C d G 4 J a V C I 3 w M L Z a 7 u f B I X k G M o u 5 c z p u 3 m L l f b 5 C O b e N d V G 9 0 h w k J K C e e Q t m V G q u E D P b o r 0 g q Y F v I U 1 E p b 5 L R x K M p E 1 J b e 4 4 Z c 8 5 R t 6 B d X 7 G Q 8 4 A d s k 0 u a 9 U W 5 C P r / 7 K v 0 d g C p S I C 9 q 8 x I q R B x G n E l 5 Q D m y F k G r 9 C O O 1 9 t j 8 Q 1 k N j h 1 4 J h f 4 u B z Z H Y O 8 P 4 g F Q S w M E F A A C A A g A p W R r 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V k a 1 q E 8 q + 2 I A E A A N 0 B A A A T A B w A R m 9 y b X V s Y X M v U 2 V j d G l v b j E u b S C i G A A o o B Q A A A A A A A A A A A A A A A A A A A A A A A A A A A B 1 U F 9 L w z A Q f y / 0 O 4 S K s E F t 1 E d H H 8 a m T P R B i L i H U S T L T h t 2 T U r u C h v i d z d d N x + G B s J d 7 i 6 / P 0 d g 2 H o n 1 B B v J m m S J l T r A B t x k S 0 8 t Z Y 1 i m d L n I l S I H C a i H i U 7 4 K B W L n f G c B i 6 c N 2 7 f 1 2 t I R 1 M f O O w T G N s p q 5 p T s p j a 9 N + 1 E c c F t v H R f G N 5 I s A 0 n V g r E a H 6 z T z l j 3 K R e z q V Q H B Z e 3 1 3 N v u q Y H k 3 P N W p 4 E x U 4 v S S 5 A I 9 f x p f b E 0 M T k T W M H M U 6 d x j 1 Z i u l V v G c f i x 3 S L h v n w n W I u e D Q w T g f n J 2 5 f l c 1 w M H 7 Y P l r 9 R i J y r P V 5 E / W b c p s m K 2 + V 7 3 Y 6 h f w J f j G c 9 x o l L u B Q D 3 a q 1 4 j F M f O s T 7 6 m z s X q + P c F F E Z j T p Q 2 U u u x m l i 3 b 8 s k x 9 Q S w E C L Q A U A A I A C A C l Z G t a S 0 D A 4 6 Q A A A D 2 A A A A E g A A A A A A A A A A A A A A A A A A A A A A Q 2 9 u Z m l n L 1 B h Y 2 t h Z 2 U u e G 1 s U E s B A i 0 A F A A C A A g A p W R r W g / K 6 a u k A A A A 6 Q A A A B M A A A A A A A A A A A A A A A A A 8 A A A A F t D b 2 5 0 Z W 5 0 X 1 R 5 c G V z X S 5 4 b W x Q S w E C L Q A U A A I A C A C l Z G t a h P K v t i A B A A D d A Q A A E w A A A A A A A A A A A A A A A A D h A Q A A R m 9 y b X V s Y X M v U 2 V j d G l v b j E u b V B L B Q Y A A A A A A w A D A M I A A A B O 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q M A A A A A A A A E g w 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S G 9 z c G l 0 Y W w l M j B M a X N 0 P C 9 J d G V t U G F 0 a D 4 8 L 0 l 0 Z W 1 M b 2 N h d G l v b j 4 8 U 3 R h Y m x l R W 5 0 c m l l c z 4 8 R W 5 0 c n k g V H l w Z T 0 i S X N Q c m l 2 Y X R l I i B W Y W x 1 Z T 0 i b D A i I C 8 + P E V u d H J 5 I F R 5 c G U 9 I l F 1 Z X J 5 S U Q i I F Z h b H V l P S J z O T l h M G I y O D M t Y T V m Z C 0 0 Z D R m L T l k Y T E t Z T c 0 Z D M z N m R l Z D A 4 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x I i A v P j x F b n R y e S B U e X B l P S J G a W x s U 3 R h d H V z I i B W Y W x 1 Z T 0 i c 0 N v b X B s Z X R l I i A v P j x F b n R y e S B U e X B l P S J G a W x s Q 2 9 s d W 1 u T m F t Z X M i I F Z h b H V l P S J z W y Z x d W 9 0 O 1 B G I E l E I F t Q c m 9 2 a W R l c i B G Z W V d J n F 1 b 3 Q 7 L C Z x d W 9 0 O 0 1 l Z G l j Y W l k I F B y b 3 Z p Z G V y I E l E J n F 1 b 3 Q 7 L C Z x d W 9 0 O 0 5 Q S S Z x d W 9 0 O y w m c X V v d D t N Z W R p Y 2 F y Z S B Q c m 9 2 a W R l c i B J R C Z x d W 9 0 O y w m c X V v d D t N Y X J r Z X R l Z C B O Y W 1 l J n F 1 b 3 Q 7 L C Z x d W 9 0 O 0 1 D U i B J R C A 1 I F R l e H Q m c X V v d D s s J n F 1 b 3 Q 7 T U N S I E l E I D U g I y Z x d W 9 0 O y w m c X V v d D t G Z W R l c m F s I E V t c G x v e W V l I E l k Z W 5 0 a W Z p Y 2 F 0 a W 9 u I E 5 1 b W J l c i Z x d W 9 0 O y w m c X V v d D t D R F B I R S B G Y W N p b G l 0 e S B M b 2 9 r d X A g T n V t Y m V y J n F 1 b 3 Q 7 L C Z x d W 9 0 O 1 N 0 Y X R l I E x p Y 2 V u c 2 U g T n V t Y m V y J n F 1 b 3 Q 7 L C Z x d W 9 0 O 1 N 0 Y X R l I E x p Y 2 V u c 2 U g V H l w Z S Z x d W 9 0 O y w m c X V v d D t D d X J y Z W 5 0 I E 5 l d H d v c m s m c X V v d D s s J n F 1 b 3 Q 7 T m F 0 a W 9 u Y W w g T m V 0 d 2 9 y a y Z x d W 9 0 O y w m c X V v d D t I b 3 N w a X R h b C B 0 e X B l J n F 1 b 3 Q 7 L C Z x d W 9 0 O 0 9 y Z 2 F u a X p h d G l v b i B P c G V u a W 5 n I E R h d G U m c X V v d D s s J n F 1 b 3 Q 7 T W F p b i B D Y W 1 w d X M g Q n V p b G R p b m c g T 3 B l b m l u Z y B E Y X R l J n F 1 b 3 Q 7 L C Z x d W 9 0 O 0 N 1 c n J l b n Q g T 3 d u Z X J z a G l w I E V m Z m V j d G l 2 Z S B E Y X R l J n F 1 b 3 Q 7 L C Z x d W 9 0 O 0 1 h a m 9 y I E V 4 c G F u c 2 l v b i B E Y X R l J n F 1 b 3 Q 7 L C Z x d W 9 0 O 0 N s b 3 N 1 c m U m c X V v d D s s J n F 1 b 3 Q 7 T m V 0 d 2 9 y a y B E Y X R l J n F 1 b 3 Q 7 L C Z x d W 9 0 O 1 d l Y n N p d G U m c X V v d D s s J n F 1 b 3 Q 7 Q W R k c m V z c y Z x d W 9 0 O y w m c X V v d D t D a X R 5 J n F 1 b 3 Q 7 L C Z x d W 9 0 O 1 p p c C B D b 2 R l J n F 1 b 3 Q 7 L C Z x d W 9 0 O 0 N v d W 5 0 e S Z x d W 9 0 O y w m c X V v d D t M Y X R p d H V k Z S Z x d W 9 0 O y w m c X V v d D t M b 2 5 n a X R 1 Z G U m c X V v d D s s J n F 1 b 3 Q 7 R E 9 J I F J l Z 2 l v b i B O d W 1 i Z X I m c X V v d D s s J n F 1 b 3 Q 7 V V M g S G 9 1 c 2 U g R G l z d H J p Y 3 Q m c X V v d D s s J n F 1 b 3 Q 7 Q 0 8 g S G 9 1 c 2 U g R G l z d H J p Y 3 Q m c X V v d D s s J n F 1 b 3 Q 7 Q 0 8 g U 2 V u Y X R l I E R p c 3 R y a W N 0 J n F 1 b 3 Q 7 L C Z x d W 9 0 O 0 R P S S B S Z W d p b 2 4 g T m F t Z S Z x d W 9 0 O y w m c X V v d D t B Q 0 M g U k F F I E 5 1 b W J l c i Z x d W 9 0 O y w m c X V v d D t B Q 0 M g U k F F I E 5 h b W U m c X V v d D s s J n F 1 b 3 Q 7 Q m V k I E N v d W 5 0 I E d y b 3 V w J n F 1 b 3 Q 7 L C Z x d W 9 0 O 0 h U U C B H c m 9 1 c G l u Z y Z x d W 9 0 O y w m c X V v d D t U c m F 1 b W E g T G V 2 Z W w m c X V v d D s s J n F 1 b 3 Q 7 T G l j Z W 5 z Z W Q g Q m V k c y Z x d W 9 0 O y w m c X V v d D t V U E w g R 3 J v d X A m c X V v d D s s J n F 1 b 3 Q 7 Q 0 1 T I E N v d W 5 0 e S B U e X B l J n F 1 b 3 Q 7 L C Z x d W 9 0 O 0 1 l d H J v c G 9 s a X R h b i B T d G F 0 a X N 0 a W N h b C B B c m V h J n F 1 b 3 Q 7 L C Z x d W 9 0 O 0 Z l Z S B F e G V t c H Q m c X V v d D s s J n F 1 b 3 Q 7 S G 9 z c G l 0 Y W w g T G 9 j Y X R p b 2 4 g R G V z a W d u Y X R p b 2 4 m c X V v d D s s J n F 1 b 3 Q 7 Q 3 J p d G l j Y W w g Q W N j Z X N z I E h v c 3 B p d G F s J n F 1 b 3 Q 7 L C Z x d W 9 0 O 1 J l c 2 9 y d C B j b G F z c 2 l m a W N h d G l v b i Z x d W 9 0 O y w m c X V v d D t O S U N V I E x l d m V s J n F 1 b 3 Q 7 L C Z x d W 9 0 O 0 N J Q 1 A g S G 9 z c G l 0 Y W w m c X V v d D s s J n F 1 b 3 Q 7 Q 2 9 s b 3 J h Z G 8 g U n V y Y W w g S G V h b H R o I E N l b n R l c i B N Z W 1 i Z X I g M j A y M C Z x d W 9 0 O y w m c X V v d D t O b 2 4 t U 3 R h d G U g R 2 9 2 Z X J u b W V u d C B I b 3 N w a X R h b C Z x d W 9 0 O y w m c X V v d D t E T 0 x B I E 1 p b G w g T G V 2 e S B M R 1 9 J R C Z x d W 9 0 O y w m c X V v d D t E T 0 x B I E 1 p b G w g T G V 2 e S B M R 1 9 J R D I m c X V v d D s s J n F 1 b 3 Q 7 Q 0 R Q S E U g U k V U Q U M m c X V v d D s s J n F 1 b 3 Q 7 Q 0 R Q S E U g T G l j Z W 5 z Z W Q g T m F t Z S Z x d W 9 0 O 1 0 i I C 8 + P E V u d H J 5 I F R 5 c G U 9 I k Z p b G x D b 2 x 1 b W 5 U e X B l c y I g V m F s d W U 9 I n N B Q U F B Q U F B Q U F B Q U F B Q U F B Q U F B Q U F B Q U F B Q U F B Q U F B Q U F B Q U F B Q U F B Q U F B Q U F B Q U F B Q U F B Q U F B Q U F B Q U F B Q U F B Q U F B Q U F B Q T 0 i I C 8 + P E V u d H J 5 I F R 5 c G U 9 I k Z p b G x M Y X N 0 V X B k Y X R l Z C I g V m F s d W U 9 I m Q y M D I 1 L T A x L T I 0 V D E 1 O j Q 2 O j Q y L j k 4 M j I w M z d a I i A v P j x F b n R y e S B U e X B l P S J G a W x s R X J y b 3 J D b 3 V u d C I g V m F s d W U 9 I m w w I i A v P j x F b n R y e S B U e X B l P S J G a W x s R X J y b 3 J D b 2 R l I i B W Y W x 1 Z T 0 i c 1 V u a 2 5 v d 2 4 i I C 8 + P E V u d H J 5 I F R 5 c G U 9 I k Z p b G x D b 3 V u d C I g V m F s d W U 9 I m w x M T A i I C 8 + P E V u d H J 5 I F R 5 c G U 9 I k F k Z G V k V G 9 E Y X R h T W 9 k Z W w i I F Z h b H V l P S J s M C I g L z 4 8 R W 5 0 c n k g V H l w Z T 0 i U m V s Y X R p b 2 5 z a G l w S W 5 m b 0 N v b n R h a W 5 l c i I g V m F s d W U 9 I n N 7 J n F 1 b 3 Q 7 Y 2 9 s d W 1 u Q 2 9 1 b n Q m c X V v d D s 6 N T M s J n F 1 b 3 Q 7 a 2 V 5 Q 2 9 s d W 1 u T m F t Z X M m c X V v d D s 6 W 1 0 s J n F 1 b 3 Q 7 c X V l c n l S Z W x h d G l v b n N o a X B z J n F 1 b 3 Q 7 O l t d L C Z x d W 9 0 O 2 N v b H V t b k l k Z W 5 0 a X R p Z X M m c X V v d D s 6 W y Z x d W 9 0 O 1 N l Y 3 R p b 2 4 x L 0 h v c 3 B p d G F s I E x p c 3 Q g K D I p L 0 F 1 d G 9 S Z W 1 v d m V k Q 2 9 s d W 1 u c z E u e 1 B G I E l E I F t Q c m 9 2 a W R l c i B G Z W V d L D B 9 J n F 1 b 3 Q 7 L C Z x d W 9 0 O 1 N l Y 3 R p b 2 4 x L 0 h v c 3 B p d G F s I E x p c 3 Q g K D I p L 0 F 1 d G 9 S Z W 1 v d m V k Q 2 9 s d W 1 u c z E u e 0 1 l Z G l j Y W l k I F B y b 3 Z p Z G V y I E l E L D F 9 J n F 1 b 3 Q 7 L C Z x d W 9 0 O 1 N l Y 3 R p b 2 4 x L 0 h v c 3 B p d G F s I E x p c 3 Q g K D I p L 0 F 1 d G 9 S Z W 1 v d m V k Q 2 9 s d W 1 u c z E u e 0 5 Q S S w y f S Z x d W 9 0 O y w m c X V v d D t T Z W N 0 a W 9 u M S 9 I b 3 N w a X R h b C B M a X N 0 I C g y K S 9 B d X R v U m V t b 3 Z l Z E N v b H V t b n M x L n t N Z W R p Y 2 F y Z S B Q c m 9 2 a W R l c i B J R C w z f S Z x d W 9 0 O y w m c X V v d D t T Z W N 0 a W 9 u M S 9 I b 3 N w a X R h b C B M a X N 0 I C g y K S 9 B d X R v U m V t b 3 Z l Z E N v b H V t b n M x L n t N Y X J r Z X R l Z C B O Y W 1 l L D R 9 J n F 1 b 3 Q 7 L C Z x d W 9 0 O 1 N l Y 3 R p b 2 4 x L 0 h v c 3 B p d G F s I E x p c 3 Q g K D I p L 0 F 1 d G 9 S Z W 1 v d m V k Q 2 9 s d W 1 u c z E u e 0 1 D U i B J R C A 1 I F R l e H Q s N X 0 m c X V v d D s s J n F 1 b 3 Q 7 U 2 V j d G l v b j E v S G 9 z c G l 0 Y W w g T G l z d C A o M i k v Q X V 0 b 1 J l b W 9 2 Z W R D b 2 x 1 b W 5 z M S 5 7 T U N S I E l E I D U g I y w 2 f S Z x d W 9 0 O y w m c X V v d D t T Z W N 0 a W 9 u M S 9 I b 3 N w a X R h b C B M a X N 0 I C g y K S 9 B d X R v U m V t b 3 Z l Z E N v b H V t b n M x L n t G Z W R l c m F s I E V t c G x v e W V l I E l k Z W 5 0 a W Z p Y 2 F 0 a W 9 u I E 5 1 b W J l c i w 3 f S Z x d W 9 0 O y w m c X V v d D t T Z W N 0 a W 9 u M S 9 I b 3 N w a X R h b C B M a X N 0 I C g y K S 9 B d X R v U m V t b 3 Z l Z E N v b H V t b n M x L n t D R F B I R S B G Y W N p b G l 0 e S B M b 2 9 r d X A g T n V t Y m V y L D h 9 J n F 1 b 3 Q 7 L C Z x d W 9 0 O 1 N l Y 3 R p b 2 4 x L 0 h v c 3 B p d G F s I E x p c 3 Q g K D I p L 0 F 1 d G 9 S Z W 1 v d m V k Q 2 9 s d W 1 u c z E u e 1 N 0 Y X R l I E x p Y 2 V u c 2 U g T n V t Y m V y L D l 9 J n F 1 b 3 Q 7 L C Z x d W 9 0 O 1 N l Y 3 R p b 2 4 x L 0 h v c 3 B p d G F s I E x p c 3 Q g K D I p L 0 F 1 d G 9 S Z W 1 v d m V k Q 2 9 s d W 1 u c z E u e 1 N 0 Y X R l I E x p Y 2 V u c 2 U g V H l w Z S w x M H 0 m c X V v d D s s J n F 1 b 3 Q 7 U 2 V j d G l v b j E v S G 9 z c G l 0 Y W w g T G l z d C A o M i k v Q X V 0 b 1 J l b W 9 2 Z W R D b 2 x 1 b W 5 z M S 5 7 Q 3 V y c m V u d C B O Z X R 3 b 3 J r L D E x f S Z x d W 9 0 O y w m c X V v d D t T Z W N 0 a W 9 u M S 9 I b 3 N w a X R h b C B M a X N 0 I C g y K S 9 B d X R v U m V t b 3 Z l Z E N v b H V t b n M x L n t O Y X R p b 2 5 h b C B O Z X R 3 b 3 J r L D E y f S Z x d W 9 0 O y w m c X V v d D t T Z W N 0 a W 9 u M S 9 I b 3 N w a X R h b C B M a X N 0 I C g y K S 9 B d X R v U m V t b 3 Z l Z E N v b H V t b n M x L n t I b 3 N w a X R h b C B 0 e X B l L D E z f S Z x d W 9 0 O y w m c X V v d D t T Z W N 0 a W 9 u M S 9 I b 3 N w a X R h b C B M a X N 0 I C g y K S 9 B d X R v U m V t b 3 Z l Z E N v b H V t b n M x L n t P c m d h b m l 6 Y X R p b 2 4 g T 3 B l b m l u Z y B E Y X R l L D E 0 f S Z x d W 9 0 O y w m c X V v d D t T Z W N 0 a W 9 u M S 9 I b 3 N w a X R h b C B M a X N 0 I C g y K S 9 B d X R v U m V t b 3 Z l Z E N v b H V t b n M x L n t N Y W l u I E N h b X B 1 c y B C d W l s Z G l u Z y B P c G V u a W 5 n I E R h d G U s M T V 9 J n F 1 b 3 Q 7 L C Z x d W 9 0 O 1 N l Y 3 R p b 2 4 x L 0 h v c 3 B p d G F s I E x p c 3 Q g K D I p L 0 F 1 d G 9 S Z W 1 v d m V k Q 2 9 s d W 1 u c z E u e 0 N 1 c n J l b n Q g T 3 d u Z X J z a G l w I E V m Z m V j d G l 2 Z S B E Y X R l L D E 2 f S Z x d W 9 0 O y w m c X V v d D t T Z W N 0 a W 9 u M S 9 I b 3 N w a X R h b C B M a X N 0 I C g y K S 9 B d X R v U m V t b 3 Z l Z E N v b H V t b n M x L n t N Y W p v c i B F e H B h b n N p b 2 4 g R G F 0 Z S w x N 3 0 m c X V v d D s s J n F 1 b 3 Q 7 U 2 V j d G l v b j E v S G 9 z c G l 0 Y W w g T G l z d C A o M i k v Q X V 0 b 1 J l b W 9 2 Z W R D b 2 x 1 b W 5 z M S 5 7 Q 2 x v c 3 V y Z S w x O H 0 m c X V v d D s s J n F 1 b 3 Q 7 U 2 V j d G l v b j E v S G 9 z c G l 0 Y W w g T G l z d C A o M i k v Q X V 0 b 1 J l b W 9 2 Z W R D b 2 x 1 b W 5 z M S 5 7 T m V 0 d 2 9 y a y B E Y X R l L D E 5 f S Z x d W 9 0 O y w m c X V v d D t T Z W N 0 a W 9 u M S 9 I b 3 N w a X R h b C B M a X N 0 I C g y K S 9 B d X R v U m V t b 3 Z l Z E N v b H V t b n M x L n t X Z W J z a X R l L D I w f S Z x d W 9 0 O y w m c X V v d D t T Z W N 0 a W 9 u M S 9 I b 3 N w a X R h b C B M a X N 0 I C g y K S 9 B d X R v U m V t b 3 Z l Z E N v b H V t b n M x L n t B Z G R y Z X N z L D I x f S Z x d W 9 0 O y w m c X V v d D t T Z W N 0 a W 9 u M S 9 I b 3 N w a X R h b C B M a X N 0 I C g y K S 9 B d X R v U m V t b 3 Z l Z E N v b H V t b n M x L n t D a X R 5 L D I y f S Z x d W 9 0 O y w m c X V v d D t T Z W N 0 a W 9 u M S 9 I b 3 N w a X R h b C B M a X N 0 I C g y K S 9 B d X R v U m V t b 3 Z l Z E N v b H V t b n M x L n t a a X A g Q 2 9 k Z S w y M 3 0 m c X V v d D s s J n F 1 b 3 Q 7 U 2 V j d G l v b j E v S G 9 z c G l 0 Y W w g T G l z d C A o M i k v Q X V 0 b 1 J l b W 9 2 Z W R D b 2 x 1 b W 5 z M S 5 7 Q 2 9 1 b n R 5 L D I 0 f S Z x d W 9 0 O y w m c X V v d D t T Z W N 0 a W 9 u M S 9 I b 3 N w a X R h b C B M a X N 0 I C g y K S 9 B d X R v U m V t b 3 Z l Z E N v b H V t b n M x L n t M Y X R p d H V k Z S w y N X 0 m c X V v d D s s J n F 1 b 3 Q 7 U 2 V j d G l v b j E v S G 9 z c G l 0 Y W w g T G l z d C A o M i k v Q X V 0 b 1 J l b W 9 2 Z W R D b 2 x 1 b W 5 z M S 5 7 T G 9 u Z 2 l 0 d W R l L D I 2 f S Z x d W 9 0 O y w m c X V v d D t T Z W N 0 a W 9 u M S 9 I b 3 N w a X R h b C B M a X N 0 I C g y K S 9 B d X R v U m V t b 3 Z l Z E N v b H V t b n M x L n t E T 0 k g U m V n a W 9 u I E 5 1 b W J l c i w y N 3 0 m c X V v d D s s J n F 1 b 3 Q 7 U 2 V j d G l v b j E v S G 9 z c G l 0 Y W w g T G l z d C A o M i k v Q X V 0 b 1 J l b W 9 2 Z W R D b 2 x 1 b W 5 z M S 5 7 V V M g S G 9 1 c 2 U g R G l z d H J p Y 3 Q s M j h 9 J n F 1 b 3 Q 7 L C Z x d W 9 0 O 1 N l Y 3 R p b 2 4 x L 0 h v c 3 B p d G F s I E x p c 3 Q g K D I p L 0 F 1 d G 9 S Z W 1 v d m V k Q 2 9 s d W 1 u c z E u e 0 N P I E h v d X N l I E R p c 3 R y a W N 0 L D I 5 f S Z x d W 9 0 O y w m c X V v d D t T Z W N 0 a W 9 u M S 9 I b 3 N w a X R h b C B M a X N 0 I C g y K S 9 B d X R v U m V t b 3 Z l Z E N v b H V t b n M x L n t D T y B T Z W 5 h d G U g R G l z d H J p Y 3 Q s M z B 9 J n F 1 b 3 Q 7 L C Z x d W 9 0 O 1 N l Y 3 R p b 2 4 x L 0 h v c 3 B p d G F s I E x p c 3 Q g K D I p L 0 F 1 d G 9 S Z W 1 v d m V k Q 2 9 s d W 1 u c z E u e 0 R P S S B S Z W d p b 2 4 g T m F t Z S w z M X 0 m c X V v d D s s J n F 1 b 3 Q 7 U 2 V j d G l v b j E v S G 9 z c G l 0 Y W w g T G l z d C A o M i k v Q X V 0 b 1 J l b W 9 2 Z W R D b 2 x 1 b W 5 z M S 5 7 Q U N D I F J B R S B O d W 1 i Z X I s M z J 9 J n F 1 b 3 Q 7 L C Z x d W 9 0 O 1 N l Y 3 R p b 2 4 x L 0 h v c 3 B p d G F s I E x p c 3 Q g K D I p L 0 F 1 d G 9 S Z W 1 v d m V k Q 2 9 s d W 1 u c z E u e 0 F D Q y B S Q U U g T m F t Z S w z M 3 0 m c X V v d D s s J n F 1 b 3 Q 7 U 2 V j d G l v b j E v S G 9 z c G l 0 Y W w g T G l z d C A o M i k v Q X V 0 b 1 J l b W 9 2 Z W R D b 2 x 1 b W 5 z M S 5 7 Q m V k I E N v d W 5 0 I E d y b 3 V w L D M 0 f S Z x d W 9 0 O y w m c X V v d D t T Z W N 0 a W 9 u M S 9 I b 3 N w a X R h b C B M a X N 0 I C g y K S 9 B d X R v U m V t b 3 Z l Z E N v b H V t b n M x L n t I V F A g R 3 J v d X B p b m c s M z V 9 J n F 1 b 3 Q 7 L C Z x d W 9 0 O 1 N l Y 3 R p b 2 4 x L 0 h v c 3 B p d G F s I E x p c 3 Q g K D I p L 0 F 1 d G 9 S Z W 1 v d m V k Q 2 9 s d W 1 u c z E u e 1 R y Y X V t Y S B M Z X Z l b C w z N n 0 m c X V v d D s s J n F 1 b 3 Q 7 U 2 V j d G l v b j E v S G 9 z c G l 0 Y W w g T G l z d C A o M i k v Q X V 0 b 1 J l b W 9 2 Z W R D b 2 x 1 b W 5 z M S 5 7 T G l j Z W 5 z Z W Q g Q m V k c y w z N 3 0 m c X V v d D s s J n F 1 b 3 Q 7 U 2 V j d G l v b j E v S G 9 z c G l 0 Y W w g T G l z d C A o M i k v Q X V 0 b 1 J l b W 9 2 Z W R D b 2 x 1 b W 5 z M S 5 7 V V B M I E d y b 3 V w L D M 4 f S Z x d W 9 0 O y w m c X V v d D t T Z W N 0 a W 9 u M S 9 I b 3 N w a X R h b C B M a X N 0 I C g y K S 9 B d X R v U m V t b 3 Z l Z E N v b H V t b n M x L n t D T V M g Q 2 9 1 b n R 5 I F R 5 c G U s M z l 9 J n F 1 b 3 Q 7 L C Z x d W 9 0 O 1 N l Y 3 R p b 2 4 x L 0 h v c 3 B p d G F s I E x p c 3 Q g K D I p L 0 F 1 d G 9 S Z W 1 v d m V k Q 2 9 s d W 1 u c z E u e 0 1 l d H J v c G 9 s a X R h b i B T d G F 0 a X N 0 a W N h b C B B c m V h L D Q w f S Z x d W 9 0 O y w m c X V v d D t T Z W N 0 a W 9 u M S 9 I b 3 N w a X R h b C B M a X N 0 I C g y K S 9 B d X R v U m V t b 3 Z l Z E N v b H V t b n M x L n t G Z W U g R X h l b X B 0 L D Q x f S Z x d W 9 0 O y w m c X V v d D t T Z W N 0 a W 9 u M S 9 I b 3 N w a X R h b C B M a X N 0 I C g y K S 9 B d X R v U m V t b 3 Z l Z E N v b H V t b n M x L n t I b 3 N w a X R h b C B M b 2 N h d G l v b i B E Z X N p Z 2 5 h d G l v b i w 0 M n 0 m c X V v d D s s J n F 1 b 3 Q 7 U 2 V j d G l v b j E v S G 9 z c G l 0 Y W w g T G l z d C A o M i k v Q X V 0 b 1 J l b W 9 2 Z W R D b 2 x 1 b W 5 z M S 5 7 Q 3 J p d G l j Y W w g Q W N j Z X N z I E h v c 3 B p d G F s L D Q z f S Z x d W 9 0 O y w m c X V v d D t T Z W N 0 a W 9 u M S 9 I b 3 N w a X R h b C B M a X N 0 I C g y K S 9 B d X R v U m V t b 3 Z l Z E N v b H V t b n M x L n t S Z X N v c n Q g Y 2 x h c 3 N p Z m l j Y X R p b 2 4 s N D R 9 J n F 1 b 3 Q 7 L C Z x d W 9 0 O 1 N l Y 3 R p b 2 4 x L 0 h v c 3 B p d G F s I E x p c 3 Q g K D I p L 0 F 1 d G 9 S Z W 1 v d m V k Q 2 9 s d W 1 u c z E u e 0 5 J Q 1 U g T G V 2 Z W w s N D V 9 J n F 1 b 3 Q 7 L C Z x d W 9 0 O 1 N l Y 3 R p b 2 4 x L 0 h v c 3 B p d G F s I E x p c 3 Q g K D I p L 0 F 1 d G 9 S Z W 1 v d m V k Q 2 9 s d W 1 u c z E u e 0 N J Q 1 A g S G 9 z c G l 0 Y W w s N D Z 9 J n F 1 b 3 Q 7 L C Z x d W 9 0 O 1 N l Y 3 R p b 2 4 x L 0 h v c 3 B p d G F s I E x p c 3 Q g K D I p L 0 F 1 d G 9 S Z W 1 v d m V k Q 2 9 s d W 1 u c z E u e 0 N v b G 9 y Y W R v I F J 1 c m F s I E h l Y W x 0 a C B D Z W 5 0 Z X I g T W V t Y m V y I D I w M j A s N D d 9 J n F 1 b 3 Q 7 L C Z x d W 9 0 O 1 N l Y 3 R p b 2 4 x L 0 h v c 3 B p d G F s I E x p c 3 Q g K D I p L 0 F 1 d G 9 S Z W 1 v d m V k Q 2 9 s d W 1 u c z E u e 0 5 v b i 1 T d G F 0 Z S B H b 3 Z l c m 5 t Z W 5 0 I E h v c 3 B p d G F s L D Q 4 f S Z x d W 9 0 O y w m c X V v d D t T Z W N 0 a W 9 u M S 9 I b 3 N w a X R h b C B M a X N 0 I C g y K S 9 B d X R v U m V t b 3 Z l Z E N v b H V t b n M x L n t E T 0 x B I E 1 p b G w g T G V 2 e S B M R 1 9 J R C w 0 O X 0 m c X V v d D s s J n F 1 b 3 Q 7 U 2 V j d G l v b j E v S G 9 z c G l 0 Y W w g T G l z d C A o M i k v Q X V 0 b 1 J l b W 9 2 Z W R D b 2 x 1 b W 5 z M S 5 7 R E 9 M Q S B N a W x s I E x l d n k g T E d f S U Q y L D U w f S Z x d W 9 0 O y w m c X V v d D t T Z W N 0 a W 9 u M S 9 I b 3 N w a X R h b C B M a X N 0 I C g y K S 9 B d X R v U m V t b 3 Z l Z E N v b H V t b n M x L n t D R F B I R S B S R V R B Q y w 1 M X 0 m c X V v d D s s J n F 1 b 3 Q 7 U 2 V j d G l v b j E v S G 9 z c G l 0 Y W w g T G l z d C A o M i k v Q X V 0 b 1 J l b W 9 2 Z W R D b 2 x 1 b W 5 z M S 5 7 Q 0 R Q S E U g T G l j Z W 5 z Z W Q g T m F t Z S w 1 M n 0 m c X V v d D t d L C Z x d W 9 0 O 0 N v b H V t b k N v d W 5 0 J n F 1 b 3 Q 7 O j U z L C Z x d W 9 0 O 0 t l e U N v b H V t b k 5 h b W V z J n F 1 b 3 Q 7 O l t d L C Z x d W 9 0 O 0 N v b H V t b k l k Z W 5 0 a X R p Z X M m c X V v d D s 6 W y Z x d W 9 0 O 1 N l Y 3 R p b 2 4 x L 0 h v c 3 B p d G F s I E x p c 3 Q g K D I p L 0 F 1 d G 9 S Z W 1 v d m V k Q 2 9 s d W 1 u c z E u e 1 B G I E l E I F t Q c m 9 2 a W R l c i B G Z W V d L D B 9 J n F 1 b 3 Q 7 L C Z x d W 9 0 O 1 N l Y 3 R p b 2 4 x L 0 h v c 3 B p d G F s I E x p c 3 Q g K D I p L 0 F 1 d G 9 S Z W 1 v d m V k Q 2 9 s d W 1 u c z E u e 0 1 l Z G l j Y W l k I F B y b 3 Z p Z G V y I E l E L D F 9 J n F 1 b 3 Q 7 L C Z x d W 9 0 O 1 N l Y 3 R p b 2 4 x L 0 h v c 3 B p d G F s I E x p c 3 Q g K D I p L 0 F 1 d G 9 S Z W 1 v d m V k Q 2 9 s d W 1 u c z E u e 0 5 Q S S w y f S Z x d W 9 0 O y w m c X V v d D t T Z W N 0 a W 9 u M S 9 I b 3 N w a X R h b C B M a X N 0 I C g y K S 9 B d X R v U m V t b 3 Z l Z E N v b H V t b n M x L n t N Z W R p Y 2 F y Z S B Q c m 9 2 a W R l c i B J R C w z f S Z x d W 9 0 O y w m c X V v d D t T Z W N 0 a W 9 u M S 9 I b 3 N w a X R h b C B M a X N 0 I C g y K S 9 B d X R v U m V t b 3 Z l Z E N v b H V t b n M x L n t N Y X J r Z X R l Z C B O Y W 1 l L D R 9 J n F 1 b 3 Q 7 L C Z x d W 9 0 O 1 N l Y 3 R p b 2 4 x L 0 h v c 3 B p d G F s I E x p c 3 Q g K D I p L 0 F 1 d G 9 S Z W 1 v d m V k Q 2 9 s d W 1 u c z E u e 0 1 D U i B J R C A 1 I F R l e H Q s N X 0 m c X V v d D s s J n F 1 b 3 Q 7 U 2 V j d G l v b j E v S G 9 z c G l 0 Y W w g T G l z d C A o M i k v Q X V 0 b 1 J l b W 9 2 Z W R D b 2 x 1 b W 5 z M S 5 7 T U N S I E l E I D U g I y w 2 f S Z x d W 9 0 O y w m c X V v d D t T Z W N 0 a W 9 u M S 9 I b 3 N w a X R h b C B M a X N 0 I C g y K S 9 B d X R v U m V t b 3 Z l Z E N v b H V t b n M x L n t G Z W R l c m F s I E V t c G x v e W V l I E l k Z W 5 0 a W Z p Y 2 F 0 a W 9 u I E 5 1 b W J l c i w 3 f S Z x d W 9 0 O y w m c X V v d D t T Z W N 0 a W 9 u M S 9 I b 3 N w a X R h b C B M a X N 0 I C g y K S 9 B d X R v U m V t b 3 Z l Z E N v b H V t b n M x L n t D R F B I R S B G Y W N p b G l 0 e S B M b 2 9 r d X A g T n V t Y m V y L D h 9 J n F 1 b 3 Q 7 L C Z x d W 9 0 O 1 N l Y 3 R p b 2 4 x L 0 h v c 3 B p d G F s I E x p c 3 Q g K D I p L 0 F 1 d G 9 S Z W 1 v d m V k Q 2 9 s d W 1 u c z E u e 1 N 0 Y X R l I E x p Y 2 V u c 2 U g T n V t Y m V y L D l 9 J n F 1 b 3 Q 7 L C Z x d W 9 0 O 1 N l Y 3 R p b 2 4 x L 0 h v c 3 B p d G F s I E x p c 3 Q g K D I p L 0 F 1 d G 9 S Z W 1 v d m V k Q 2 9 s d W 1 u c z E u e 1 N 0 Y X R l I E x p Y 2 V u c 2 U g V H l w Z S w x M H 0 m c X V v d D s s J n F 1 b 3 Q 7 U 2 V j d G l v b j E v S G 9 z c G l 0 Y W w g T G l z d C A o M i k v Q X V 0 b 1 J l b W 9 2 Z W R D b 2 x 1 b W 5 z M S 5 7 Q 3 V y c m V u d C B O Z X R 3 b 3 J r L D E x f S Z x d W 9 0 O y w m c X V v d D t T Z W N 0 a W 9 u M S 9 I b 3 N w a X R h b C B M a X N 0 I C g y K S 9 B d X R v U m V t b 3 Z l Z E N v b H V t b n M x L n t O Y X R p b 2 5 h b C B O Z X R 3 b 3 J r L D E y f S Z x d W 9 0 O y w m c X V v d D t T Z W N 0 a W 9 u M S 9 I b 3 N w a X R h b C B M a X N 0 I C g y K S 9 B d X R v U m V t b 3 Z l Z E N v b H V t b n M x L n t I b 3 N w a X R h b C B 0 e X B l L D E z f S Z x d W 9 0 O y w m c X V v d D t T Z W N 0 a W 9 u M S 9 I b 3 N w a X R h b C B M a X N 0 I C g y K S 9 B d X R v U m V t b 3 Z l Z E N v b H V t b n M x L n t P c m d h b m l 6 Y X R p b 2 4 g T 3 B l b m l u Z y B E Y X R l L D E 0 f S Z x d W 9 0 O y w m c X V v d D t T Z W N 0 a W 9 u M S 9 I b 3 N w a X R h b C B M a X N 0 I C g y K S 9 B d X R v U m V t b 3 Z l Z E N v b H V t b n M x L n t N Y W l u I E N h b X B 1 c y B C d W l s Z G l u Z y B P c G V u a W 5 n I E R h d G U s M T V 9 J n F 1 b 3 Q 7 L C Z x d W 9 0 O 1 N l Y 3 R p b 2 4 x L 0 h v c 3 B p d G F s I E x p c 3 Q g K D I p L 0 F 1 d G 9 S Z W 1 v d m V k Q 2 9 s d W 1 u c z E u e 0 N 1 c n J l b n Q g T 3 d u Z X J z a G l w I E V m Z m V j d G l 2 Z S B E Y X R l L D E 2 f S Z x d W 9 0 O y w m c X V v d D t T Z W N 0 a W 9 u M S 9 I b 3 N w a X R h b C B M a X N 0 I C g y K S 9 B d X R v U m V t b 3 Z l Z E N v b H V t b n M x L n t N Y W p v c i B F e H B h b n N p b 2 4 g R G F 0 Z S w x N 3 0 m c X V v d D s s J n F 1 b 3 Q 7 U 2 V j d G l v b j E v S G 9 z c G l 0 Y W w g T G l z d C A o M i k v Q X V 0 b 1 J l b W 9 2 Z W R D b 2 x 1 b W 5 z M S 5 7 Q 2 x v c 3 V y Z S w x O H 0 m c X V v d D s s J n F 1 b 3 Q 7 U 2 V j d G l v b j E v S G 9 z c G l 0 Y W w g T G l z d C A o M i k v Q X V 0 b 1 J l b W 9 2 Z W R D b 2 x 1 b W 5 z M S 5 7 T m V 0 d 2 9 y a y B E Y X R l L D E 5 f S Z x d W 9 0 O y w m c X V v d D t T Z W N 0 a W 9 u M S 9 I b 3 N w a X R h b C B M a X N 0 I C g y K S 9 B d X R v U m V t b 3 Z l Z E N v b H V t b n M x L n t X Z W J z a X R l L D I w f S Z x d W 9 0 O y w m c X V v d D t T Z W N 0 a W 9 u M S 9 I b 3 N w a X R h b C B M a X N 0 I C g y K S 9 B d X R v U m V t b 3 Z l Z E N v b H V t b n M x L n t B Z G R y Z X N z L D I x f S Z x d W 9 0 O y w m c X V v d D t T Z W N 0 a W 9 u M S 9 I b 3 N w a X R h b C B M a X N 0 I C g y K S 9 B d X R v U m V t b 3 Z l Z E N v b H V t b n M x L n t D a X R 5 L D I y f S Z x d W 9 0 O y w m c X V v d D t T Z W N 0 a W 9 u M S 9 I b 3 N w a X R h b C B M a X N 0 I C g y K S 9 B d X R v U m V t b 3 Z l Z E N v b H V t b n M x L n t a a X A g Q 2 9 k Z S w y M 3 0 m c X V v d D s s J n F 1 b 3 Q 7 U 2 V j d G l v b j E v S G 9 z c G l 0 Y W w g T G l z d C A o M i k v Q X V 0 b 1 J l b W 9 2 Z W R D b 2 x 1 b W 5 z M S 5 7 Q 2 9 1 b n R 5 L D I 0 f S Z x d W 9 0 O y w m c X V v d D t T Z W N 0 a W 9 u M S 9 I b 3 N w a X R h b C B M a X N 0 I C g y K S 9 B d X R v U m V t b 3 Z l Z E N v b H V t b n M x L n t M Y X R p d H V k Z S w y N X 0 m c X V v d D s s J n F 1 b 3 Q 7 U 2 V j d G l v b j E v S G 9 z c G l 0 Y W w g T G l z d C A o M i k v Q X V 0 b 1 J l b W 9 2 Z W R D b 2 x 1 b W 5 z M S 5 7 T G 9 u Z 2 l 0 d W R l L D I 2 f S Z x d W 9 0 O y w m c X V v d D t T Z W N 0 a W 9 u M S 9 I b 3 N w a X R h b C B M a X N 0 I C g y K S 9 B d X R v U m V t b 3 Z l Z E N v b H V t b n M x L n t E T 0 k g U m V n a W 9 u I E 5 1 b W J l c i w y N 3 0 m c X V v d D s s J n F 1 b 3 Q 7 U 2 V j d G l v b j E v S G 9 z c G l 0 Y W w g T G l z d C A o M i k v Q X V 0 b 1 J l b W 9 2 Z W R D b 2 x 1 b W 5 z M S 5 7 V V M g S G 9 1 c 2 U g R G l z d H J p Y 3 Q s M j h 9 J n F 1 b 3 Q 7 L C Z x d W 9 0 O 1 N l Y 3 R p b 2 4 x L 0 h v c 3 B p d G F s I E x p c 3 Q g K D I p L 0 F 1 d G 9 S Z W 1 v d m V k Q 2 9 s d W 1 u c z E u e 0 N P I E h v d X N l I E R p c 3 R y a W N 0 L D I 5 f S Z x d W 9 0 O y w m c X V v d D t T Z W N 0 a W 9 u M S 9 I b 3 N w a X R h b C B M a X N 0 I C g y K S 9 B d X R v U m V t b 3 Z l Z E N v b H V t b n M x L n t D T y B T Z W 5 h d G U g R G l z d H J p Y 3 Q s M z B 9 J n F 1 b 3 Q 7 L C Z x d W 9 0 O 1 N l Y 3 R p b 2 4 x L 0 h v c 3 B p d G F s I E x p c 3 Q g K D I p L 0 F 1 d G 9 S Z W 1 v d m V k Q 2 9 s d W 1 u c z E u e 0 R P S S B S Z W d p b 2 4 g T m F t Z S w z M X 0 m c X V v d D s s J n F 1 b 3 Q 7 U 2 V j d G l v b j E v S G 9 z c G l 0 Y W w g T G l z d C A o M i k v Q X V 0 b 1 J l b W 9 2 Z W R D b 2 x 1 b W 5 z M S 5 7 Q U N D I F J B R S B O d W 1 i Z X I s M z J 9 J n F 1 b 3 Q 7 L C Z x d W 9 0 O 1 N l Y 3 R p b 2 4 x L 0 h v c 3 B p d G F s I E x p c 3 Q g K D I p L 0 F 1 d G 9 S Z W 1 v d m V k Q 2 9 s d W 1 u c z E u e 0 F D Q y B S Q U U g T m F t Z S w z M 3 0 m c X V v d D s s J n F 1 b 3 Q 7 U 2 V j d G l v b j E v S G 9 z c G l 0 Y W w g T G l z d C A o M i k v Q X V 0 b 1 J l b W 9 2 Z W R D b 2 x 1 b W 5 z M S 5 7 Q m V k I E N v d W 5 0 I E d y b 3 V w L D M 0 f S Z x d W 9 0 O y w m c X V v d D t T Z W N 0 a W 9 u M S 9 I b 3 N w a X R h b C B M a X N 0 I C g y K S 9 B d X R v U m V t b 3 Z l Z E N v b H V t b n M x L n t I V F A g R 3 J v d X B p b m c s M z V 9 J n F 1 b 3 Q 7 L C Z x d W 9 0 O 1 N l Y 3 R p b 2 4 x L 0 h v c 3 B p d G F s I E x p c 3 Q g K D I p L 0 F 1 d G 9 S Z W 1 v d m V k Q 2 9 s d W 1 u c z E u e 1 R y Y X V t Y S B M Z X Z l b C w z N n 0 m c X V v d D s s J n F 1 b 3 Q 7 U 2 V j d G l v b j E v S G 9 z c G l 0 Y W w g T G l z d C A o M i k v Q X V 0 b 1 J l b W 9 2 Z W R D b 2 x 1 b W 5 z M S 5 7 T G l j Z W 5 z Z W Q g Q m V k c y w z N 3 0 m c X V v d D s s J n F 1 b 3 Q 7 U 2 V j d G l v b j E v S G 9 z c G l 0 Y W w g T G l z d C A o M i k v Q X V 0 b 1 J l b W 9 2 Z W R D b 2 x 1 b W 5 z M S 5 7 V V B M I E d y b 3 V w L D M 4 f S Z x d W 9 0 O y w m c X V v d D t T Z W N 0 a W 9 u M S 9 I b 3 N w a X R h b C B M a X N 0 I C g y K S 9 B d X R v U m V t b 3 Z l Z E N v b H V t b n M x L n t D T V M g Q 2 9 1 b n R 5 I F R 5 c G U s M z l 9 J n F 1 b 3 Q 7 L C Z x d W 9 0 O 1 N l Y 3 R p b 2 4 x L 0 h v c 3 B p d G F s I E x p c 3 Q g K D I p L 0 F 1 d G 9 S Z W 1 v d m V k Q 2 9 s d W 1 u c z E u e 0 1 l d H J v c G 9 s a X R h b i B T d G F 0 a X N 0 a W N h b C B B c m V h L D Q w f S Z x d W 9 0 O y w m c X V v d D t T Z W N 0 a W 9 u M S 9 I b 3 N w a X R h b C B M a X N 0 I C g y K S 9 B d X R v U m V t b 3 Z l Z E N v b H V t b n M x L n t G Z W U g R X h l b X B 0 L D Q x f S Z x d W 9 0 O y w m c X V v d D t T Z W N 0 a W 9 u M S 9 I b 3 N w a X R h b C B M a X N 0 I C g y K S 9 B d X R v U m V t b 3 Z l Z E N v b H V t b n M x L n t I b 3 N w a X R h b C B M b 2 N h d G l v b i B E Z X N p Z 2 5 h d G l v b i w 0 M n 0 m c X V v d D s s J n F 1 b 3 Q 7 U 2 V j d G l v b j E v S G 9 z c G l 0 Y W w g T G l z d C A o M i k v Q X V 0 b 1 J l b W 9 2 Z W R D b 2 x 1 b W 5 z M S 5 7 Q 3 J p d G l j Y W w g Q W N j Z X N z I E h v c 3 B p d G F s L D Q z f S Z x d W 9 0 O y w m c X V v d D t T Z W N 0 a W 9 u M S 9 I b 3 N w a X R h b C B M a X N 0 I C g y K S 9 B d X R v U m V t b 3 Z l Z E N v b H V t b n M x L n t S Z X N v c n Q g Y 2 x h c 3 N p Z m l j Y X R p b 2 4 s N D R 9 J n F 1 b 3 Q 7 L C Z x d W 9 0 O 1 N l Y 3 R p b 2 4 x L 0 h v c 3 B p d G F s I E x p c 3 Q g K D I p L 0 F 1 d G 9 S Z W 1 v d m V k Q 2 9 s d W 1 u c z E u e 0 5 J Q 1 U g T G V 2 Z W w s N D V 9 J n F 1 b 3 Q 7 L C Z x d W 9 0 O 1 N l Y 3 R p b 2 4 x L 0 h v c 3 B p d G F s I E x p c 3 Q g K D I p L 0 F 1 d G 9 S Z W 1 v d m V k Q 2 9 s d W 1 u c z E u e 0 N J Q 1 A g S G 9 z c G l 0 Y W w s N D Z 9 J n F 1 b 3 Q 7 L C Z x d W 9 0 O 1 N l Y 3 R p b 2 4 x L 0 h v c 3 B p d G F s I E x p c 3 Q g K D I p L 0 F 1 d G 9 S Z W 1 v d m V k Q 2 9 s d W 1 u c z E u e 0 N v b G 9 y Y W R v I F J 1 c m F s I E h l Y W x 0 a C B D Z W 5 0 Z X I g T W V t Y m V y I D I w M j A s N D d 9 J n F 1 b 3 Q 7 L C Z x d W 9 0 O 1 N l Y 3 R p b 2 4 x L 0 h v c 3 B p d G F s I E x p c 3 Q g K D I p L 0 F 1 d G 9 S Z W 1 v d m V k Q 2 9 s d W 1 u c z E u e 0 5 v b i 1 T d G F 0 Z S B H b 3 Z l c m 5 t Z W 5 0 I E h v c 3 B p d G F s L D Q 4 f S Z x d W 9 0 O y w m c X V v d D t T Z W N 0 a W 9 u M S 9 I b 3 N w a X R h b C B M a X N 0 I C g y K S 9 B d X R v U m V t b 3 Z l Z E N v b H V t b n M x L n t E T 0 x B I E 1 p b G w g T G V 2 e S B M R 1 9 J R C w 0 O X 0 m c X V v d D s s J n F 1 b 3 Q 7 U 2 V j d G l v b j E v S G 9 z c G l 0 Y W w g T G l z d C A o M i k v Q X V 0 b 1 J l b W 9 2 Z W R D b 2 x 1 b W 5 z M S 5 7 R E 9 M Q S B N a W x s I E x l d n k g T E d f S U Q y L D U w f S Z x d W 9 0 O y w m c X V v d D t T Z W N 0 a W 9 u M S 9 I b 3 N w a X R h b C B M a X N 0 I C g y K S 9 B d X R v U m V t b 3 Z l Z E N v b H V t b n M x L n t D R F B I R S B S R V R B Q y w 1 M X 0 m c X V v d D s s J n F 1 b 3 Q 7 U 2 V j d G l v b j E v S G 9 z c G l 0 Y W w g T G l z d C A o M i k v Q X V 0 b 1 J l b W 9 2 Z W R D b 2 x 1 b W 5 z M S 5 7 Q 0 R Q S E U g T G l j Z W 5 z Z W Q g T m F t Z S w 1 M n 0 m c X V v d D t d L C Z x d W 9 0 O 1 J l b G F 0 a W 9 u c 2 h p c E l u Z m 8 m c X V v d D s 6 W 1 1 9 I i A v P j w v U 3 R h Y m x l R W 5 0 c m l l c z 4 8 L 0 l 0 Z W 0 + P E l 0 Z W 0 + P E l 0 Z W 1 M b 2 N h d G l v b j 4 8 S X R l b V R 5 c G U + R m 9 y b X V s Y T w v S X R l b V R 5 c G U + P E l 0 Z W 1 Q Y X R o P l N l Y 3 R p b 2 4 x L 0 h v c 3 B p d G F s J T I w T G l z d C 9 T b 3 V y Y 2 U 8 L 0 l 0 Z W 1 Q Y X R o P j w v S X R l b U x v Y 2 F 0 a W 9 u P j x T d G F i b G V F b n R y a W V z I C 8 + P C 9 J d G V t P j x J d G V t P j x J d G V t T G 9 j Y X R p b 2 4 + P E l 0 Z W 1 U e X B l P k Z v c m 1 1 b G E 8 L 0 l 0 Z W 1 U e X B l P j x J d G V t U G F 0 a D 5 T Z W N 0 a W 9 u M S 9 I b 3 N w a X R h b C U y M E x p c 3 Q v S G 9 z c G l 0 Y W w l M j B M a X N 0 X 1 N o Z W V 0 P C 9 J d G V t U G F 0 a D 4 8 L 0 l 0 Z W 1 M b 2 N h d G l v b j 4 8 U 3 R h Y m x l R W 5 0 c m l l c y A v P j w v S X R l b T 4 8 S X R l b T 4 8 S X R l b U x v Y 2 F 0 a W 9 u P j x J d G V t V H l w Z T 5 G b 3 J t d W x h P C 9 J d G V t V H l w Z T 4 8 S X R l b V B h d G g + U 2 V j d G l v b j E v S G 9 z c G l 0 Y W w l M j B M a X N 0 L 1 B y b 2 1 v d G V k J T I w S G V h Z G V y c z w v S X R l b V B h d G g + P C 9 J d G V t T G 9 j Y X R p b 2 4 + P F N 0 Y W J s Z U V u d H J p Z X M g L z 4 8 L 0 l 0 Z W 0 + P C 9 J d G V t c z 4 8 L 0 x v Y 2 F s U G F j a 2 F n Z U 1 l d G F k Y X R h R m l s Z T 4 W A A A A U E s F B g A A A A A A A A A A A A A A A A A A A A A A A N o A A A A B A A A A 0 I y d 3 w E V 0 R G M e g D A T 8 K X 6 w E A A A B c + c o t 5 t Q O S r F P A q i k v B z b A A A A A A I A A A A A A A N m A A D A A A A A E A A A A L c E M A K O v R u u W o k m O g o b 7 + 4 A A A A A B I A A A K A A A A A Q A A A A x t z C V v d 7 4 q O T 8 0 9 e 5 y 3 Y F F A A A A A n R v Z 5 I J T B a s L V 4 / m g T B 8 g 7 J / j x M V j A v + e M G R P S E H R k 0 / z m N f C h G n L 1 Y z V c F k I y / F 8 Z b 9 q N b g + l n l T E 0 0 X U g M e O R x M H G J i C S a V + A Y e 1 v O x r x Q A A A D o Q 8 8 X K K b v D 9 v P Y Z S z / W Q V n K A E g 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9755b1d7-a9b7-4be3-8953-f0f9bbbba515" xsi:nil="true"/>
    <lcf76f155ced4ddcb4097134ff3c332f xmlns="88bf42df-5a11-40b7-843f-dde3ea0d9320">
      <Terms xmlns="http://schemas.microsoft.com/office/infopath/2007/PartnerControls"/>
    </lcf76f155ced4ddcb4097134ff3c332f>
    <eClearance_x0020__x002d__x0020_2013 xmlns="88bf42df-5a11-40b7-843f-dde3ea0d9320">
      <Url>https://cohcpf.sharepoint.com/eClearance/_layouts/15/wrkstat.aspx?List=88bf42df-5a11-40b7-843f-dde3ea0d9320&amp;WorkflowInstanceName=d22b9c03-7989-47a2-8a84-2987d4265d98</Url>
      <Description>Stop</Description>
    </eClearance_x0020__x002d__x0020_2013>
  </documentManagement>
</p:properties>
</file>

<file path=customXml/itemProps1.xml><?xml version="1.0" encoding="utf-8"?>
<ds:datastoreItem xmlns:ds="http://schemas.openxmlformats.org/officeDocument/2006/customXml" ds:itemID="{CA024BC7-3FD0-48DE-AEAD-24BD10C52AD0}">
  <ds:schemaRefs>
    <ds:schemaRef ds:uri="http://schemas.microsoft.com/sharepoint/v3/contenttype/forms"/>
  </ds:schemaRefs>
</ds:datastoreItem>
</file>

<file path=customXml/itemProps2.xml><?xml version="1.0" encoding="utf-8"?>
<ds:datastoreItem xmlns:ds="http://schemas.openxmlformats.org/officeDocument/2006/customXml" ds:itemID="{24067B81-88A4-4F4E-BC09-0EE93689FC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bf42df-5a11-40b7-843f-dde3ea0d9320"/>
    <ds:schemaRef ds:uri="205bb03d-a2a2-49e0-822d-095c7bd4e585"/>
    <ds:schemaRef ds:uri="9755b1d7-a9b7-4be3-8953-f0f9bbbba5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59440C-2E97-4060-8FED-87BDA65F14F4}">
  <ds:schemaRefs>
    <ds:schemaRef ds:uri="http://schemas.microsoft.com/DataMashup"/>
  </ds:schemaRefs>
</ds:datastoreItem>
</file>

<file path=customXml/itemProps4.xml><?xml version="1.0" encoding="utf-8"?>
<ds:datastoreItem xmlns:ds="http://schemas.openxmlformats.org/officeDocument/2006/customXml" ds:itemID="{7C61C006-AEBD-48B8-A245-CC4E5CD90225}">
  <ds:schemaRefs>
    <ds:schemaRef ds:uri="http://schemas.microsoft.com/office/2006/metadata/properties"/>
    <ds:schemaRef ds:uri="http://schemas.microsoft.com/office/infopath/2007/PartnerControls"/>
    <ds:schemaRef ds:uri="9755b1d7-a9b7-4be3-8953-f0f9bbbba515"/>
    <ds:schemaRef ds:uri="88bf42df-5a11-40b7-843f-dde3ea0d93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IP Base Rate Sources &amp; Methods</vt:lpstr>
      <vt:lpstr>Process for GME-IME Review</vt:lpstr>
      <vt:lpstr>GME Add-On Posting</vt:lpstr>
      <vt:lpstr>Non-PPS IME Add-On Posting</vt:lpstr>
      <vt:lpstr>Process for CMS Data Review</vt:lpstr>
      <vt:lpstr>Fed Bs Rt+IME+GME+VBP+RAA+HAC</vt:lpstr>
      <vt:lpstr>FY25 IMPACT FILE IFC-OTHER TBLS</vt:lpstr>
      <vt:lpstr>FY 2025 IFC Table 1A-1E</vt:lpstr>
      <vt:lpstr>IMPACT FILE Variable Descriptio</vt:lpstr>
      <vt:lpstr>Process for Add-on Reviews</vt:lpstr>
      <vt:lpstr>Characteristics</vt:lpstr>
      <vt:lpstr>Solvency Metric FY25-26</vt:lpstr>
      <vt:lpstr>Discharge 3 yr avg FY25-26</vt:lpstr>
      <vt:lpstr>Payer Mix 3 yr avg FY25-26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Marks</dc:creator>
  <cp:keywords/>
  <dc:description/>
  <cp:lastModifiedBy>Lambe, Diana</cp:lastModifiedBy>
  <cp:revision/>
  <dcterms:created xsi:type="dcterms:W3CDTF">2022-03-27T11:56:40Z</dcterms:created>
  <dcterms:modified xsi:type="dcterms:W3CDTF">2025-04-22T14:57:43Z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0x010100F2A383D07DCF1A4A9B22D7FC098ADAD1</vt:lpwstr>
  </property>
  <property fmtid="{D5CDD505-2E9C-101B-9397-08002B2CF9AE}" pid="3" name="MediaServiceImageTags">
    <vt:lpwstr/>
  </property>
</Properties>
</file>