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I:\Colorado_APM1\6-PY 2025\"/>
    </mc:Choice>
  </mc:AlternateContent>
  <xr:revisionPtr revIDLastSave="0" documentId="13_ncr:1_{D9A4D61C-0739-4CD1-95CD-A4EE0678970F}" xr6:coauthVersionLast="47" xr6:coauthVersionMax="47" xr10:uidLastSave="{00000000-0000-0000-0000-000000000000}"/>
  <bookViews>
    <workbookView xWindow="-120" yWindow="-120" windowWidth="29040" windowHeight="15840" xr2:uid="{00000000-000D-0000-FFFF-FFFF00000000}"/>
  </bookViews>
  <sheets>
    <sheet name="Workbook Instructions" sheetId="3" r:id="rId1"/>
    <sheet name="Overview Page" sheetId="9" r:id="rId2"/>
    <sheet name="1. Measure Selection" sheetId="4" r:id="rId3"/>
    <sheet name="2. Close the Gap Calculator" sheetId="2" r:id="rId4"/>
    <sheet name="3. Dashboard" sheetId="5" r:id="rId5"/>
    <sheet name="DataValTab" sheetId="6" state="hidden" r:id="rId6"/>
  </sheets>
  <definedNames>
    <definedName name="_xlnm._FilterDatabase" localSheetId="2" hidden="1">'1. Measure Selection'!$C$13:$H$53</definedName>
    <definedName name="_xlnm._FilterDatabase" localSheetId="3" hidden="1">'2. Close the Gap Calculator'!$A$3:$N$35</definedName>
    <definedName name="_xlnm._FilterDatabase" localSheetId="5" hidden="1">DataValTab!$E$4:$P$36</definedName>
    <definedName name="_xlnm.Criteria" localSheetId="2">'1. Measure Selection'!$L$16:$L$20</definedName>
    <definedName name="_xlnm.Extract" localSheetId="2">'1. Measure Selection'!$V$16:$W$20</definedName>
    <definedName name="Meas_Desc">'1. Measure Selection'!$D$13:$D$53</definedName>
    <definedName name="_xlnm.Print_Area" localSheetId="4">'3. Dashboard'!$A$1:$I$31</definedName>
    <definedName name="_xlnm.Print_Area" localSheetId="1">'Overview Page'!$B$1:$C$69</definedName>
    <definedName name="_xlnm.Print_Area" localSheetId="0">'Workbook Instructions'!$A$1:$M$69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6" l="1"/>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50" i="6"/>
  <c r="C50" i="6"/>
  <c r="T15" i="2" l="1"/>
  <c r="S15" i="2"/>
  <c r="I46" i="4" l="1"/>
  <c r="I47" i="4"/>
  <c r="I48" i="4"/>
  <c r="I49" i="4"/>
  <c r="I50" i="4"/>
  <c r="I51" i="4"/>
  <c r="I52" i="4"/>
  <c r="I53" i="4"/>
  <c r="I45" i="4"/>
  <c r="D24" i="4"/>
  <c r="C42" i="4"/>
  <c r="C23" i="9"/>
  <c r="C18" i="9"/>
  <c r="Q28" i="2"/>
  <c r="Q29" i="2"/>
  <c r="Q30" i="2"/>
  <c r="Q31" i="2"/>
  <c r="Q32" i="2"/>
  <c r="Q33" i="2"/>
  <c r="Q34" i="2"/>
  <c r="Q35" i="2"/>
  <c r="Q27" i="2"/>
  <c r="B5" i="2"/>
  <c r="C5" i="2"/>
  <c r="B6" i="2"/>
  <c r="C6"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I42" i="4"/>
  <c r="H42" i="4"/>
  <c r="G42" i="4"/>
  <c r="F42" i="4"/>
  <c r="D42" i="4"/>
  <c r="C4" i="2"/>
  <c r="B4" i="2"/>
  <c r="H26" i="2" l="1"/>
  <c r="H34" i="2"/>
  <c r="H30" i="2"/>
  <c r="H22" i="2"/>
  <c r="H14" i="2"/>
  <c r="H10" i="2"/>
  <c r="H20" i="2"/>
  <c r="H12" i="2"/>
  <c r="H32" i="2"/>
  <c r="H24" i="2"/>
  <c r="H8" i="2"/>
  <c r="H28" i="2"/>
  <c r="J28" i="2" s="1"/>
  <c r="K28" i="2" s="1"/>
  <c r="H16" i="2"/>
  <c r="H18" i="2"/>
  <c r="H4" i="2"/>
  <c r="M29" i="2"/>
  <c r="H29" i="2"/>
  <c r="H25" i="2"/>
  <c r="H21" i="2"/>
  <c r="H17" i="2"/>
  <c r="H13" i="2"/>
  <c r="O13" i="2" s="1"/>
  <c r="H9" i="2"/>
  <c r="H5" i="2"/>
  <c r="H33" i="2"/>
  <c r="H23" i="2"/>
  <c r="J23" i="2" s="1"/>
  <c r="K23" i="2" s="1"/>
  <c r="L23" i="2" s="1"/>
  <c r="H11" i="2"/>
  <c r="O11" i="2" s="1"/>
  <c r="H35" i="2"/>
  <c r="H31" i="2"/>
  <c r="H27" i="2"/>
  <c r="I27" i="2" s="1"/>
  <c r="H19" i="2"/>
  <c r="H15" i="2"/>
  <c r="H7" i="2"/>
  <c r="H6" i="2"/>
  <c r="R15" i="2"/>
  <c r="R32" i="2"/>
  <c r="R28" i="2"/>
  <c r="R34" i="2"/>
  <c r="R30" i="2"/>
  <c r="R26" i="2"/>
  <c r="R35" i="2"/>
  <c r="R31" i="2"/>
  <c r="R27" i="2"/>
  <c r="R33" i="2"/>
  <c r="R29" i="2"/>
  <c r="I29" i="2"/>
  <c r="L29" i="2"/>
  <c r="M27" i="2"/>
  <c r="L27" i="2"/>
  <c r="J29" i="2"/>
  <c r="K29" i="2" s="1"/>
  <c r="M28" i="2"/>
  <c r="L28" i="2"/>
  <c r="I28" i="2"/>
  <c r="J26" i="2"/>
  <c r="K26" i="2" s="1"/>
  <c r="L26" i="2" l="1"/>
  <c r="J27" i="2"/>
  <c r="K27" i="2" s="1"/>
  <c r="O6" i="2"/>
  <c r="J6" i="2"/>
  <c r="K6" i="2" s="1"/>
  <c r="J7" i="2"/>
  <c r="K7" i="2" s="1"/>
  <c r="O15" i="2"/>
  <c r="M15" i="2" s="1"/>
  <c r="J15" i="2"/>
  <c r="K15" i="2" s="1"/>
  <c r="L15" i="2" s="1"/>
  <c r="O14" i="2"/>
  <c r="J14" i="2"/>
  <c r="K14" i="2" s="1"/>
  <c r="O12" i="2"/>
  <c r="O5" i="2"/>
  <c r="N27" i="2"/>
  <c r="P73" i="6" s="1"/>
  <c r="N28" i="2"/>
  <c r="P74" i="6" s="1"/>
  <c r="N29" i="2"/>
  <c r="P75" i="6" s="1"/>
  <c r="I31" i="4"/>
  <c r="H31" i="4"/>
  <c r="G31" i="4"/>
  <c r="I35" i="4"/>
  <c r="I36" i="4"/>
  <c r="I37" i="4"/>
  <c r="I38" i="4"/>
  <c r="I39" i="4"/>
  <c r="I40" i="4"/>
  <c r="I41" i="4"/>
  <c r="I26" i="4"/>
  <c r="I27" i="4"/>
  <c r="I28" i="4"/>
  <c r="I29" i="4"/>
  <c r="I30" i="4"/>
  <c r="I25" i="4"/>
  <c r="H35" i="4"/>
  <c r="H36" i="4"/>
  <c r="H37" i="4"/>
  <c r="H38" i="4"/>
  <c r="H39" i="4"/>
  <c r="H40" i="4"/>
  <c r="H41" i="4"/>
  <c r="H34" i="4"/>
  <c r="G35" i="4"/>
  <c r="G36" i="4"/>
  <c r="G37" i="4"/>
  <c r="G38" i="4"/>
  <c r="G39" i="4"/>
  <c r="G40" i="4"/>
  <c r="G41" i="4"/>
  <c r="H26" i="4"/>
  <c r="H27" i="4"/>
  <c r="H28" i="4"/>
  <c r="H29" i="4"/>
  <c r="H30" i="4"/>
  <c r="H25" i="4"/>
  <c r="G30" i="4"/>
  <c r="G26" i="4"/>
  <c r="G27" i="4"/>
  <c r="G28" i="4"/>
  <c r="G29" i="4"/>
  <c r="G25" i="4"/>
  <c r="F38" i="4"/>
  <c r="F39" i="4"/>
  <c r="F40" i="4"/>
  <c r="F41" i="4"/>
  <c r="R5" i="2"/>
  <c r="R6" i="2"/>
  <c r="R7" i="2"/>
  <c r="R8" i="2"/>
  <c r="R9" i="2"/>
  <c r="R10" i="2"/>
  <c r="R11" i="2"/>
  <c r="R13" i="2"/>
  <c r="R14" i="2"/>
  <c r="R16" i="2"/>
  <c r="R17" i="2"/>
  <c r="R18" i="2"/>
  <c r="R19" i="2"/>
  <c r="R20" i="2"/>
  <c r="R21" i="2"/>
  <c r="R22" i="2"/>
  <c r="R24" i="2"/>
  <c r="R25" i="2"/>
  <c r="Q19" i="2"/>
  <c r="Q20" i="2"/>
  <c r="Q21" i="2"/>
  <c r="Q22" i="2"/>
  <c r="Q23" i="2"/>
  <c r="Q24" i="2"/>
  <c r="Q25" i="2"/>
  <c r="Q26" i="2"/>
  <c r="Q18" i="2"/>
  <c r="Q17" i="2"/>
  <c r="Q16" i="2"/>
  <c r="Q15" i="2"/>
  <c r="I15" i="2" s="1"/>
  <c r="Q13" i="2"/>
  <c r="Q14" i="2"/>
  <c r="Q12" i="2"/>
  <c r="Q11" i="2"/>
  <c r="Q10" i="2"/>
  <c r="C20" i="9"/>
  <c r="C22" i="9"/>
  <c r="C17" i="9"/>
  <c r="F31" i="4"/>
  <c r="F26" i="4"/>
  <c r="F27" i="4"/>
  <c r="F28" i="4"/>
  <c r="F29" i="4"/>
  <c r="F30" i="4"/>
  <c r="F25" i="4"/>
  <c r="F22" i="4"/>
  <c r="F21" i="4"/>
  <c r="N15" i="2" l="1"/>
  <c r="P15" i="2"/>
  <c r="J75" i="6"/>
  <c r="M47" i="4" s="1"/>
  <c r="J74" i="6"/>
  <c r="M46" i="4" s="1"/>
  <c r="J73" i="6"/>
  <c r="I26" i="2"/>
  <c r="R12" i="2"/>
  <c r="I24" i="2"/>
  <c r="R23" i="2"/>
  <c r="C37" i="4"/>
  <c r="D37" i="4"/>
  <c r="C38" i="4"/>
  <c r="D38" i="4"/>
  <c r="C39" i="4"/>
  <c r="D39" i="4"/>
  <c r="C40" i="4"/>
  <c r="D40" i="4"/>
  <c r="C41" i="4"/>
  <c r="D41" i="4"/>
  <c r="C31" i="4" l="1"/>
  <c r="D31" i="4"/>
  <c r="A31" i="4"/>
  <c r="B31" i="4"/>
  <c r="C26" i="4"/>
  <c r="C27" i="4"/>
  <c r="C28" i="4"/>
  <c r="C29" i="4"/>
  <c r="C30" i="4"/>
  <c r="C25" i="4"/>
  <c r="D30" i="4"/>
  <c r="D26" i="4"/>
  <c r="D27" i="4"/>
  <c r="D28" i="4"/>
  <c r="D29" i="4"/>
  <c r="D25" i="4"/>
  <c r="B30" i="4"/>
  <c r="A30" i="4"/>
  <c r="B29" i="4"/>
  <c r="A29" i="4"/>
  <c r="B28" i="4"/>
  <c r="A28" i="4"/>
  <c r="B27" i="4"/>
  <c r="A27" i="4"/>
  <c r="B26" i="4"/>
  <c r="A26" i="4"/>
  <c r="B25" i="4"/>
  <c r="A25" i="4"/>
  <c r="C47" i="9" l="1"/>
  <c r="C39" i="9"/>
  <c r="B41" i="9"/>
  <c r="C38" i="9"/>
  <c r="C46" i="9"/>
  <c r="C45" i="9"/>
  <c r="B47" i="9"/>
  <c r="B39" i="9"/>
  <c r="B46" i="9"/>
  <c r="B38" i="9"/>
  <c r="B43" i="9"/>
  <c r="C44" i="9"/>
  <c r="B42" i="9"/>
  <c r="B40" i="9"/>
  <c r="C43" i="9"/>
  <c r="B45" i="9"/>
  <c r="B44" i="9"/>
  <c r="C42" i="9"/>
  <c r="C41" i="9"/>
  <c r="C40" i="9"/>
  <c r="O26" i="2"/>
  <c r="M26" i="2" s="1"/>
  <c r="N26" i="2" s="1"/>
  <c r="O29" i="2"/>
  <c r="O30" i="2"/>
  <c r="O17" i="2"/>
  <c r="O22" i="2"/>
  <c r="O24" i="2"/>
  <c r="O27" i="2"/>
  <c r="O31" i="2"/>
  <c r="O32" i="2"/>
  <c r="O33" i="2"/>
  <c r="O34" i="2"/>
  <c r="O35" i="2"/>
  <c r="Q9" i="2"/>
  <c r="C35" i="4"/>
  <c r="D35" i="4"/>
  <c r="C36" i="4"/>
  <c r="D36" i="4"/>
  <c r="Q4" i="2"/>
  <c r="Q5" i="2"/>
  <c r="Q6" i="2"/>
  <c r="Q7" i="2"/>
  <c r="Q8" i="2"/>
  <c r="J72" i="6" l="1"/>
  <c r="P72" i="6"/>
  <c r="I14" i="2"/>
  <c r="I6" i="2"/>
  <c r="O8" i="2"/>
  <c r="I23" i="2"/>
  <c r="O20" i="2"/>
  <c r="O23" i="2"/>
  <c r="O28" i="2"/>
  <c r="I21" i="4" l="1"/>
  <c r="H21" i="4"/>
  <c r="G21" i="4"/>
  <c r="C21" i="4"/>
  <c r="D21" i="4"/>
  <c r="C66" i="9" l="1"/>
  <c r="I20" i="2" l="1"/>
  <c r="I31" i="2"/>
  <c r="I22" i="2"/>
  <c r="I30" i="2"/>
  <c r="I32" i="2"/>
  <c r="I34" i="2"/>
  <c r="I17" i="2"/>
  <c r="I33" i="2"/>
  <c r="I35" i="2"/>
  <c r="I13" i="2"/>
  <c r="I12" i="2"/>
  <c r="C22" i="4"/>
  <c r="D22" i="4"/>
  <c r="I8" i="2"/>
  <c r="F35" i="4" l="1"/>
  <c r="F36" i="4"/>
  <c r="F37" i="4"/>
  <c r="C17" i="4"/>
  <c r="C18" i="4"/>
  <c r="C19" i="4"/>
  <c r="C20" i="4"/>
  <c r="C16" i="4"/>
  <c r="R4" i="2" l="1"/>
  <c r="G22" i="4"/>
  <c r="G17" i="4"/>
  <c r="G18" i="4"/>
  <c r="G19" i="4"/>
  <c r="G20" i="4"/>
  <c r="G16" i="4"/>
  <c r="D17" i="4"/>
  <c r="D18" i="4"/>
  <c r="D19" i="4"/>
  <c r="D20" i="4"/>
  <c r="D16" i="4"/>
  <c r="T34" i="2" l="1"/>
  <c r="S34" i="2"/>
  <c r="I22" i="4" l="1"/>
  <c r="H22" i="4"/>
  <c r="E45" i="4"/>
  <c r="T23" i="2" l="1"/>
  <c r="S23" i="2"/>
  <c r="A39" i="4" l="1"/>
  <c r="A40" i="4"/>
  <c r="A41" i="4"/>
  <c r="A42" i="4"/>
  <c r="B39" i="4"/>
  <c r="B40" i="4"/>
  <c r="B41" i="4"/>
  <c r="B42" i="4"/>
  <c r="I34" i="4"/>
  <c r="G34" i="4"/>
  <c r="F34" i="4"/>
  <c r="C34" i="4"/>
  <c r="D34" i="4"/>
  <c r="J30" i="2"/>
  <c r="J34" i="2"/>
  <c r="K34" i="2" s="1"/>
  <c r="T33" i="2"/>
  <c r="S33" i="2"/>
  <c r="T32" i="2"/>
  <c r="S32" i="2"/>
  <c r="T31" i="2"/>
  <c r="S31" i="2"/>
  <c r="T30" i="2"/>
  <c r="S30" i="2"/>
  <c r="T29" i="2"/>
  <c r="S29" i="2"/>
  <c r="T28" i="2"/>
  <c r="S28" i="2"/>
  <c r="T27" i="2"/>
  <c r="S27" i="2"/>
  <c r="T26" i="2"/>
  <c r="S26" i="2"/>
  <c r="T25" i="2"/>
  <c r="S25" i="2"/>
  <c r="I17" i="4"/>
  <c r="I18" i="4"/>
  <c r="I19" i="4"/>
  <c r="I20" i="4"/>
  <c r="I16" i="4"/>
  <c r="H17" i="4"/>
  <c r="H18" i="4"/>
  <c r="H19" i="4"/>
  <c r="H20" i="4"/>
  <c r="H16" i="4"/>
  <c r="F17" i="4"/>
  <c r="F18" i="4"/>
  <c r="F19" i="4"/>
  <c r="F20" i="4"/>
  <c r="F16" i="4"/>
  <c r="M23" i="2" l="1"/>
  <c r="M31" i="2"/>
  <c r="M34" i="2"/>
  <c r="N34" i="2" s="1"/>
  <c r="L34" i="2"/>
  <c r="J31" i="2"/>
  <c r="K31" i="2" s="1"/>
  <c r="J32" i="2"/>
  <c r="K32" i="2" s="1"/>
  <c r="K30" i="2"/>
  <c r="M32" i="2"/>
  <c r="M30" i="2"/>
  <c r="M33" i="2"/>
  <c r="J33" i="2"/>
  <c r="K33" i="2" s="1"/>
  <c r="L35" i="2"/>
  <c r="L30" i="2" l="1"/>
  <c r="N30" i="2"/>
  <c r="L32" i="2"/>
  <c r="N32" i="2"/>
  <c r="L33" i="2"/>
  <c r="N33" i="2"/>
  <c r="L31" i="2"/>
  <c r="N31" i="2"/>
  <c r="P80" i="6"/>
  <c r="M42" i="4"/>
  <c r="J80" i="6"/>
  <c r="P26" i="2"/>
  <c r="P32" i="2"/>
  <c r="P28" i="2"/>
  <c r="P30" i="2"/>
  <c r="P29" i="2"/>
  <c r="P33" i="2"/>
  <c r="P31" i="2"/>
  <c r="P27" i="2"/>
  <c r="P34" i="2"/>
  <c r="P23" i="2"/>
  <c r="M22" i="2"/>
  <c r="M24" i="2"/>
  <c r="M35" i="2"/>
  <c r="P79" i="6" l="1"/>
  <c r="J79" i="6"/>
  <c r="P78" i="6"/>
  <c r="J78" i="6"/>
  <c r="P77" i="6"/>
  <c r="J77" i="6"/>
  <c r="P76" i="6"/>
  <c r="J76" i="6"/>
  <c r="M52" i="4"/>
  <c r="M48" i="4" l="1"/>
  <c r="M49" i="4"/>
  <c r="M50" i="4"/>
  <c r="M51" i="4"/>
  <c r="G46" i="4"/>
  <c r="H46" i="4"/>
  <c r="G47" i="4"/>
  <c r="H47" i="4"/>
  <c r="G48" i="4"/>
  <c r="H48" i="4"/>
  <c r="G49" i="4"/>
  <c r="H49" i="4"/>
  <c r="G50" i="4"/>
  <c r="H50" i="4"/>
  <c r="G51" i="4"/>
  <c r="H51" i="4"/>
  <c r="G52" i="4"/>
  <c r="H52" i="4"/>
  <c r="G53" i="4"/>
  <c r="H53" i="4"/>
  <c r="H45" i="4"/>
  <c r="G45" i="4"/>
  <c r="F46" i="4"/>
  <c r="F47" i="4"/>
  <c r="F48" i="4"/>
  <c r="F49" i="4"/>
  <c r="F50" i="4"/>
  <c r="F51" i="4"/>
  <c r="F52" i="4"/>
  <c r="F53" i="4"/>
  <c r="F45" i="4"/>
  <c r="D46" i="4"/>
  <c r="D47" i="4"/>
  <c r="D48" i="4"/>
  <c r="D49" i="4"/>
  <c r="D50" i="4"/>
  <c r="D51" i="4"/>
  <c r="D52" i="4"/>
  <c r="D53" i="4"/>
  <c r="D45" i="4"/>
  <c r="C46" i="4"/>
  <c r="C47" i="4"/>
  <c r="C48" i="4"/>
  <c r="C49" i="4"/>
  <c r="C50" i="4"/>
  <c r="C51" i="4"/>
  <c r="C52" i="4"/>
  <c r="C53" i="4"/>
  <c r="C45" i="4"/>
  <c r="B26" i="9" l="1"/>
  <c r="D44" i="4"/>
  <c r="C44" i="4"/>
  <c r="D59" i="4" l="1"/>
  <c r="S5" i="2" l="1"/>
  <c r="S6" i="2"/>
  <c r="S7" i="2"/>
  <c r="S8" i="2"/>
  <c r="S9" i="2"/>
  <c r="S10" i="2"/>
  <c r="S11" i="2"/>
  <c r="S12" i="2"/>
  <c r="S13" i="2"/>
  <c r="S14" i="2"/>
  <c r="S16" i="2"/>
  <c r="S17" i="2"/>
  <c r="S18" i="2"/>
  <c r="S19" i="2"/>
  <c r="S20" i="2"/>
  <c r="S21" i="2"/>
  <c r="S22" i="2"/>
  <c r="S24" i="2"/>
  <c r="S35" i="2"/>
  <c r="S4" i="2"/>
  <c r="T5" i="2"/>
  <c r="T6" i="2"/>
  <c r="T7" i="2"/>
  <c r="T8" i="2"/>
  <c r="T9" i="2"/>
  <c r="T10" i="2"/>
  <c r="T11" i="2"/>
  <c r="T12" i="2"/>
  <c r="T13" i="2"/>
  <c r="T14" i="2"/>
  <c r="T16" i="2"/>
  <c r="T17" i="2"/>
  <c r="T18" i="2"/>
  <c r="T19" i="2"/>
  <c r="T20" i="2"/>
  <c r="T21" i="2"/>
  <c r="T22" i="2"/>
  <c r="T24" i="2"/>
  <c r="T35" i="2"/>
  <c r="T4" i="2"/>
  <c r="J22" i="2" l="1"/>
  <c r="J24" i="2"/>
  <c r="E22" i="4"/>
  <c r="A22" i="4"/>
  <c r="B22" i="4"/>
  <c r="J13" i="2" l="1"/>
  <c r="K13" i="2" s="1"/>
  <c r="M13" i="2"/>
  <c r="J20" i="2"/>
  <c r="K20" i="2" s="1"/>
  <c r="M20" i="2"/>
  <c r="J8" i="2"/>
  <c r="K8" i="2" s="1"/>
  <c r="L8" i="2" s="1"/>
  <c r="M8" i="2"/>
  <c r="J17" i="2"/>
  <c r="K17" i="2" s="1"/>
  <c r="M17" i="2"/>
  <c r="J12" i="2"/>
  <c r="K12" i="2" s="1"/>
  <c r="M12" i="2"/>
  <c r="N12" i="2" s="1"/>
  <c r="L14" i="2"/>
  <c r="M14" i="2"/>
  <c r="L6" i="2"/>
  <c r="M6" i="2"/>
  <c r="J35" i="2"/>
  <c r="K35" i="2" s="1"/>
  <c r="N35" i="2" s="1"/>
  <c r="K22" i="2"/>
  <c r="K24" i="2"/>
  <c r="E46" i="4"/>
  <c r="E47" i="4"/>
  <c r="E48" i="4"/>
  <c r="E49" i="4"/>
  <c r="E50" i="4"/>
  <c r="E51" i="4"/>
  <c r="E52" i="4"/>
  <c r="E53" i="4"/>
  <c r="L20" i="2" l="1"/>
  <c r="N20" i="2"/>
  <c r="N6" i="2"/>
  <c r="P58" i="6"/>
  <c r="L12" i="2"/>
  <c r="N13" i="2"/>
  <c r="L22" i="2"/>
  <c r="P81" i="6"/>
  <c r="J81" i="6"/>
  <c r="N8" i="2"/>
  <c r="N24" i="2"/>
  <c r="P35" i="2"/>
  <c r="P8" i="2"/>
  <c r="A34" i="4"/>
  <c r="A35" i="4"/>
  <c r="A36" i="4"/>
  <c r="A37" i="4"/>
  <c r="A38" i="4"/>
  <c r="A45" i="4"/>
  <c r="A46" i="4"/>
  <c r="A47" i="4"/>
  <c r="A48" i="4"/>
  <c r="A49" i="4"/>
  <c r="A50" i="4"/>
  <c r="A51" i="4"/>
  <c r="A52" i="4"/>
  <c r="A53" i="4"/>
  <c r="A17" i="4"/>
  <c r="A18" i="4"/>
  <c r="A19" i="4"/>
  <c r="A20" i="4"/>
  <c r="A21" i="4"/>
  <c r="A16" i="4"/>
  <c r="O46" i="4"/>
  <c r="O47" i="4"/>
  <c r="O48" i="4"/>
  <c r="O49" i="4"/>
  <c r="O50" i="4"/>
  <c r="O51" i="4"/>
  <c r="O52" i="4"/>
  <c r="O53" i="4"/>
  <c r="O45" i="4"/>
  <c r="M53" i="4" l="1"/>
  <c r="J58" i="6"/>
  <c r="P59" i="6"/>
  <c r="J59" i="6"/>
  <c r="J66" i="6"/>
  <c r="P66" i="6"/>
  <c r="L24" i="2"/>
  <c r="L13" i="2"/>
  <c r="L17" i="2"/>
  <c r="P70" i="6"/>
  <c r="J70" i="6"/>
  <c r="C21" i="9"/>
  <c r="M45" i="4"/>
  <c r="D6" i="5"/>
  <c r="D5" i="5"/>
  <c r="D12" i="5"/>
  <c r="D8" i="5"/>
  <c r="D7" i="5"/>
  <c r="M40" i="4" l="1"/>
  <c r="J54" i="6"/>
  <c r="P20" i="2"/>
  <c r="P12" i="2"/>
  <c r="P17" i="2"/>
  <c r="N17" i="2" s="1"/>
  <c r="P13" i="2"/>
  <c r="P24" i="2"/>
  <c r="P22" i="2"/>
  <c r="N22" i="2" s="1"/>
  <c r="P14" i="2"/>
  <c r="N14" i="2" s="1"/>
  <c r="P60" i="6" s="1"/>
  <c r="M27" i="4" s="1"/>
  <c r="P6" i="2"/>
  <c r="P63" i="6" l="1"/>
  <c r="J63" i="6"/>
  <c r="M31" i="4" s="1"/>
  <c r="J68" i="6"/>
  <c r="P68" i="6"/>
  <c r="P52" i="6"/>
  <c r="M18" i="4" s="1"/>
  <c r="M36" i="4"/>
  <c r="B46" i="4"/>
  <c r="B47" i="4"/>
  <c r="B48" i="4"/>
  <c r="B49" i="4"/>
  <c r="B50" i="4"/>
  <c r="B51" i="4"/>
  <c r="B52" i="4"/>
  <c r="B53" i="4"/>
  <c r="B45" i="4"/>
  <c r="B34" i="4"/>
  <c r="B35" i="4"/>
  <c r="B36" i="4"/>
  <c r="B37" i="4"/>
  <c r="B38" i="4"/>
  <c r="B17" i="4"/>
  <c r="B18" i="4"/>
  <c r="B19" i="4"/>
  <c r="B20" i="4"/>
  <c r="B21" i="4"/>
  <c r="B16" i="4"/>
  <c r="M38" i="4" l="1"/>
  <c r="B64" i="9"/>
  <c r="B63" i="9"/>
  <c r="C35" i="9"/>
  <c r="C34" i="9"/>
  <c r="B33" i="9"/>
  <c r="C32" i="9"/>
  <c r="B31" i="9"/>
  <c r="C33" i="9"/>
  <c r="B32" i="9"/>
  <c r="B35" i="9"/>
  <c r="B34" i="9"/>
  <c r="C31" i="9"/>
  <c r="B30" i="9"/>
  <c r="C36" i="9"/>
  <c r="C30" i="9"/>
  <c r="B36" i="9"/>
  <c r="B49" i="9"/>
  <c r="C49" i="9"/>
  <c r="C51" i="9"/>
  <c r="B58" i="9"/>
  <c r="B55" i="9"/>
  <c r="C57" i="9"/>
  <c r="C56" i="9"/>
  <c r="B57" i="9"/>
  <c r="C53" i="9"/>
  <c r="C55" i="9"/>
  <c r="B54" i="9"/>
  <c r="C61" i="9"/>
  <c r="C64" i="9"/>
  <c r="B50" i="9"/>
  <c r="B56" i="9"/>
  <c r="B62" i="9"/>
  <c r="B52" i="9"/>
  <c r="B59" i="9"/>
  <c r="B53" i="9"/>
  <c r="C63" i="9"/>
  <c r="C59" i="9"/>
  <c r="C52" i="9"/>
  <c r="B60" i="9"/>
  <c r="C62" i="9"/>
  <c r="B61" i="9"/>
  <c r="C58" i="9"/>
  <c r="B51" i="9"/>
  <c r="C54" i="9"/>
  <c r="C50" i="9"/>
  <c r="C60" i="9"/>
  <c r="C65" i="9" l="1"/>
  <c r="C19" i="9" s="1"/>
  <c r="F12" i="5"/>
  <c r="F11" i="5"/>
  <c r="F5" i="5"/>
  <c r="B14" i="5"/>
  <c r="D9" i="5"/>
  <c r="B12" i="5" l="1"/>
  <c r="B11" i="5"/>
  <c r="F10" i="5"/>
  <c r="D11" i="5"/>
  <c r="D10" i="5"/>
  <c r="F7" i="5"/>
  <c r="B13" i="5"/>
  <c r="B10" i="5"/>
  <c r="F14" i="5"/>
  <c r="F13" i="5"/>
  <c r="F9" i="5"/>
  <c r="F8" i="5"/>
  <c r="F6" i="5"/>
  <c r="B5" i="5"/>
  <c r="B7" i="5" l="1"/>
  <c r="B6" i="5"/>
  <c r="B8" i="5"/>
  <c r="B9" i="5"/>
  <c r="D14" i="5" l="1"/>
  <c r="D13" i="5"/>
  <c r="N5" i="4"/>
  <c r="F15" i="5" s="1"/>
  <c r="H15" i="5" l="1"/>
  <c r="F17" i="5"/>
  <c r="B24" i="9" l="1"/>
  <c r="E12" i="4" l="1"/>
  <c r="D8" i="4"/>
  <c r="G15" i="5"/>
  <c r="C24" i="9" l="1"/>
  <c r="O25" i="2" l="1"/>
  <c r="M25" i="2" s="1"/>
  <c r="O19" i="2"/>
  <c r="M19" i="2" s="1"/>
  <c r="M11" i="2"/>
  <c r="N11" i="2" s="1"/>
  <c r="O7" i="2"/>
  <c r="M7" i="2" s="1"/>
  <c r="O10" i="2"/>
  <c r="M10" i="2" s="1"/>
  <c r="P10" i="2" s="1"/>
  <c r="N10" i="2" s="1"/>
  <c r="M5" i="2"/>
  <c r="I7" i="2"/>
  <c r="L7" i="2"/>
  <c r="I11" i="2"/>
  <c r="I18" i="2"/>
  <c r="J11" i="2"/>
  <c r="K11" i="2" s="1"/>
  <c r="L11" i="2" s="1"/>
  <c r="O21" i="2"/>
  <c r="M21" i="2" s="1"/>
  <c r="N23" i="2"/>
  <c r="P69" i="6" s="1"/>
  <c r="O9" i="2"/>
  <c r="M9" i="2" s="1"/>
  <c r="I16" i="2"/>
  <c r="J10" i="2"/>
  <c r="K10" i="2" s="1"/>
  <c r="L10" i="2" s="1"/>
  <c r="I10" i="2"/>
  <c r="J19" i="2"/>
  <c r="K19" i="2" s="1"/>
  <c r="L19" i="2" s="1"/>
  <c r="I19" i="2"/>
  <c r="I21" i="2"/>
  <c r="I9" i="2"/>
  <c r="J9" i="2"/>
  <c r="K9" i="2" s="1"/>
  <c r="L9" i="2" s="1"/>
  <c r="I5" i="2"/>
  <c r="J5" i="2"/>
  <c r="J16" i="2"/>
  <c r="K16" i="2" s="1"/>
  <c r="L16" i="2" s="1"/>
  <c r="O16" i="2"/>
  <c r="M16" i="2" s="1"/>
  <c r="J21" i="2"/>
  <c r="K21" i="2" s="1"/>
  <c r="L21" i="2" s="1"/>
  <c r="L25" i="2"/>
  <c r="J25" i="2"/>
  <c r="K25" i="2" s="1"/>
  <c r="I25" i="2"/>
  <c r="J18" i="2"/>
  <c r="K18" i="2" s="1"/>
  <c r="L18" i="2" s="1"/>
  <c r="O18" i="2"/>
  <c r="M18" i="2" s="1"/>
  <c r="L5" i="2" l="1"/>
  <c r="K5" i="2"/>
  <c r="P61" i="6"/>
  <c r="M28" i="4" s="1"/>
  <c r="J60" i="6"/>
  <c r="J69" i="6"/>
  <c r="M39" i="4" s="1"/>
  <c r="P21" i="2"/>
  <c r="N21" i="2" s="1"/>
  <c r="P18" i="2"/>
  <c r="N18" i="2" s="1"/>
  <c r="P64" i="6" s="1"/>
  <c r="P56" i="6"/>
  <c r="J56" i="6"/>
  <c r="M25" i="4" s="1"/>
  <c r="P5" i="2"/>
  <c r="N5" i="2"/>
  <c r="P9" i="2"/>
  <c r="N9" i="2" s="1"/>
  <c r="P54" i="6" s="1"/>
  <c r="P7" i="2"/>
  <c r="N7" i="2" s="1"/>
  <c r="P53" i="6" s="1"/>
  <c r="M19" i="4" s="1"/>
  <c r="P11" i="2"/>
  <c r="P19" i="2"/>
  <c r="N19" i="2"/>
  <c r="P25" i="2"/>
  <c r="N25" i="2"/>
  <c r="P16" i="2"/>
  <c r="N16" i="2" s="1"/>
  <c r="P62" i="6" l="1"/>
  <c r="J62" i="6"/>
  <c r="M30" i="4" s="1"/>
  <c r="M29" i="4"/>
  <c r="J64" i="6"/>
  <c r="M34" i="4" s="1"/>
  <c r="P67" i="6"/>
  <c r="J67" i="6"/>
  <c r="P71" i="6"/>
  <c r="J71" i="6"/>
  <c r="M20" i="4"/>
  <c r="J55" i="6"/>
  <c r="M21" i="4" s="1"/>
  <c r="P51" i="6"/>
  <c r="J51" i="6"/>
  <c r="J65" i="6"/>
  <c r="P65" i="6"/>
  <c r="P57" i="6"/>
  <c r="M22" i="4" s="1"/>
  <c r="J57" i="6"/>
  <c r="M26" i="4" s="1"/>
  <c r="O4" i="2"/>
  <c r="M4" i="2" s="1"/>
  <c r="I4" i="2"/>
  <c r="J4" i="2"/>
  <c r="L4" i="2" l="1"/>
  <c r="K4" i="2"/>
  <c r="M17" i="4"/>
  <c r="M41" i="4"/>
  <c r="M35" i="4"/>
  <c r="H10" i="5" s="1"/>
  <c r="G10" i="5" s="1"/>
  <c r="M37" i="4"/>
  <c r="H7" i="5"/>
  <c r="G7" i="5" s="1"/>
  <c r="H8" i="5"/>
  <c r="G8" i="5" s="1"/>
  <c r="P4" i="2"/>
  <c r="N4" i="2"/>
  <c r="H6" i="5" l="1"/>
  <c r="G6" i="5" s="1"/>
  <c r="H9" i="5"/>
  <c r="G9" i="5" s="1"/>
  <c r="H13" i="5"/>
  <c r="G13" i="5" s="1"/>
  <c r="H14" i="5"/>
  <c r="G14" i="5" s="1"/>
  <c r="H11" i="5"/>
  <c r="G11" i="5" s="1"/>
  <c r="H12" i="5"/>
  <c r="G12" i="5" s="1"/>
  <c r="J50" i="6"/>
  <c r="P50" i="6"/>
  <c r="M16" i="4" l="1"/>
  <c r="H5" i="5" s="1"/>
  <c r="E23" i="5" s="1"/>
  <c r="H17" i="5"/>
  <c r="E27" i="5" l="1"/>
  <c r="L10" i="5"/>
  <c r="K10" i="5" s="1"/>
  <c r="G5" i="5"/>
</calcChain>
</file>

<file path=xl/sharedStrings.xml><?xml version="1.0" encoding="utf-8"?>
<sst xmlns="http://schemas.openxmlformats.org/spreadsheetml/2006/main" count="1004" uniqueCount="588">
  <si>
    <t>Measure Type</t>
  </si>
  <si>
    <t>Measure Description</t>
  </si>
  <si>
    <t>Measure Selected</t>
  </si>
  <si>
    <t>Percentage of Gap Closed</t>
  </si>
  <si>
    <t>Measure Number</t>
  </si>
  <si>
    <t>Selected Measure</t>
  </si>
  <si>
    <t>eCQM</t>
  </si>
  <si>
    <t>Breast Cancer Screening</t>
  </si>
  <si>
    <t>Colorectal Cancer Screening</t>
  </si>
  <si>
    <t>Patient Satisfaction</t>
  </si>
  <si>
    <t>Interdisciplinary Team</t>
  </si>
  <si>
    <t>Availability of Appointments</t>
  </si>
  <si>
    <t>Improving Patient/Family Access</t>
  </si>
  <si>
    <t>Alternative Encounters</t>
  </si>
  <si>
    <t>Referral Tracking</t>
  </si>
  <si>
    <t>Individual Care Plan</t>
  </si>
  <si>
    <t>Keep the following guidance in mind as you use this workbook:</t>
  </si>
  <si>
    <t>Instructions for using this workbook:</t>
  </si>
  <si>
    <t>Administrative</t>
  </si>
  <si>
    <t>Possible Points</t>
  </si>
  <si>
    <t>Statewide Goal</t>
  </si>
  <si>
    <t>Calculated Percentage of Gap Closed to Statewide Goal</t>
  </si>
  <si>
    <t xml:space="preserve">Measure Description </t>
  </si>
  <si>
    <t xml:space="preserve">Possible Points </t>
  </si>
  <si>
    <t>Earned</t>
  </si>
  <si>
    <t>When Finished, Press CTRL+P to Print Your Measure List</t>
  </si>
  <si>
    <t>PCMH</t>
  </si>
  <si>
    <t>Total Points Possible</t>
  </si>
  <si>
    <t>eCQMs, Administrative</t>
  </si>
  <si>
    <t>Mandatory Measures</t>
  </si>
  <si>
    <t>Additional Measures</t>
  </si>
  <si>
    <t>PCMP Name</t>
  </si>
  <si>
    <t>PCMP ID</t>
  </si>
  <si>
    <t>Adult Measures List</t>
  </si>
  <si>
    <t>Peds Measures List</t>
  </si>
  <si>
    <t>Mandatory Measures:</t>
  </si>
  <si>
    <t>Total:</t>
  </si>
  <si>
    <t>Please select your measures in the Measure Selection Tab. Your selected measures will be listed below:</t>
  </si>
  <si>
    <t>Error Log: For your workbook to be accepted, ALL ERRORS MUST BE CLEARED</t>
  </si>
  <si>
    <t>Total Errors:</t>
  </si>
  <si>
    <t>YES</t>
  </si>
  <si>
    <t>NO</t>
  </si>
  <si>
    <t>Roll-in Measures selected as backup to mandatory measures:</t>
  </si>
  <si>
    <t>Errors will be listed here</t>
  </si>
  <si>
    <t>Structural</t>
  </si>
  <si>
    <t>N/A</t>
  </si>
  <si>
    <t>Selected Measure Ref</t>
  </si>
  <si>
    <r>
      <t xml:space="preserve">- You must report a total of ten (10) measures to earn points. </t>
    </r>
    <r>
      <rPr>
        <b/>
        <sz val="11"/>
        <color theme="1"/>
        <rFont val="Myriad Pro"/>
      </rPr>
      <t>Three (3) measures are mandated by HCPF (</t>
    </r>
    <r>
      <rPr>
        <b/>
        <u/>
        <sz val="11"/>
        <color theme="1"/>
        <rFont val="Myriad Pro"/>
      </rPr>
      <t>see the Mandatory Sets below)</t>
    </r>
  </si>
  <si>
    <t>Contact the HCPF at the following e-mail with questions:</t>
  </si>
  <si>
    <t>Mandatory Pediatric Set</t>
  </si>
  <si>
    <t>Measure #</t>
  </si>
  <si>
    <t>eCQM/Administrative
Administrative</t>
  </si>
  <si>
    <t>eCQM/Administrative</t>
  </si>
  <si>
    <t>Mandatory Adult Set</t>
  </si>
  <si>
    <t>Statewide Goal Met or Exceeded</t>
  </si>
  <si>
    <t>x</t>
  </si>
  <si>
    <t>1. Measure Selection</t>
  </si>
  <si>
    <t>Optional Tabs: 2. Close the Gab Calculator and 3. Dashboard</t>
  </si>
  <si>
    <t>3. Dashboard</t>
  </si>
  <si>
    <t xml:space="preserve">      ●  Errors in the measure selection.</t>
  </si>
  <si>
    <t xml:space="preserve">      ●  You cannot choose any structural measures</t>
  </si>
  <si>
    <t>Blank Cell E</t>
  </si>
  <si>
    <t>Blank Cell D</t>
  </si>
  <si>
    <t>Measure ID</t>
  </si>
  <si>
    <t>Percentage of Points Earned</t>
  </si>
  <si>
    <t>Estimated Earned Points</t>
  </si>
  <si>
    <t>Estimated Points</t>
  </si>
  <si>
    <t>Maximum Points</t>
  </si>
  <si>
    <t>Estimated Points Earned</t>
  </si>
  <si>
    <t>● You can only select up to 5 structural measures (100 points total).</t>
  </si>
  <si>
    <t xml:space="preserve">      ●  Invalid PCMP ID.</t>
  </si>
  <si>
    <t xml:space="preserve">      ●  Missing PCMP name.</t>
  </si>
  <si>
    <t xml:space="preserve">- Review and resolve all errors in the "Error Log" section as necessary. The selections on the "1. Measure Selection" tab may need to be modified until the submission is free of error and a message of "Selection free of error! Please proceed with submission." populates. </t>
  </si>
  <si>
    <t>- Workbooks that have errors in the Error Log will not be accepted.</t>
  </si>
  <si>
    <t>2. Close the Gap Calculator</t>
  </si>
  <si>
    <t>*Indicates the mandatory measure to select if the PCMP has a certified electronic health record. If the PCMP does not have a certified EHR, the corresponding number will serve as a backup.</t>
  </si>
  <si>
    <t>Additional Measures - Clinical</t>
  </si>
  <si>
    <t xml:space="preserve">Adult Measure Set </t>
  </si>
  <si>
    <t xml:space="preserve">Pediatric Measure Set </t>
  </si>
  <si>
    <t>Please indicate which set of measures you are reporting (Check)</t>
  </si>
  <si>
    <t>Estimated Points Achieved</t>
  </si>
  <si>
    <t>Patient Centered Medical Home Credit</t>
  </si>
  <si>
    <t>Progress Towards Goal</t>
  </si>
  <si>
    <t>Mandatory Tabs: Overview Page and 1. Measure Selection Tab</t>
  </si>
  <si>
    <t>Overview Page</t>
  </si>
  <si>
    <t>Total Measures Selected:</t>
  </si>
  <si>
    <r>
      <t xml:space="preserve">- For your Measure Selection to be accepted, ensure that all your errors have been cleared on the </t>
    </r>
    <r>
      <rPr>
        <b/>
        <sz val="11"/>
        <color theme="1"/>
        <rFont val="Myriad Pro"/>
      </rPr>
      <t>Overview Page</t>
    </r>
    <r>
      <rPr>
        <sz val="11"/>
        <color theme="1"/>
        <rFont val="Myriad Pro"/>
      </rPr>
      <t xml:space="preserve">. </t>
    </r>
  </si>
  <si>
    <t>PCMP_MCAID_ID</t>
  </si>
  <si>
    <t>89658710</t>
  </si>
  <si>
    <t>83524762</t>
  </si>
  <si>
    <t>9000161792</t>
  </si>
  <si>
    <t>9000161798</t>
  </si>
  <si>
    <t>67680062</t>
  </si>
  <si>
    <t>39385370</t>
  </si>
  <si>
    <t>74707361</t>
  </si>
  <si>
    <t>70987025</t>
  </si>
  <si>
    <t>02651564</t>
  </si>
  <si>
    <t>83354565</t>
  </si>
  <si>
    <t>83400249</t>
  </si>
  <si>
    <t>57507732</t>
  </si>
  <si>
    <t>55770053</t>
  </si>
  <si>
    <t>41471768</t>
  </si>
  <si>
    <t>21800057</t>
  </si>
  <si>
    <t>9000176674</t>
  </si>
  <si>
    <t>9000176333</t>
  </si>
  <si>
    <t>9000151969</t>
  </si>
  <si>
    <t>04020376</t>
  </si>
  <si>
    <t>9000172211</t>
  </si>
  <si>
    <t>04660049</t>
  </si>
  <si>
    <t>04895082</t>
  </si>
  <si>
    <t>19930054</t>
  </si>
  <si>
    <t>9000160440</t>
  </si>
  <si>
    <t>25232339</t>
  </si>
  <si>
    <t>9000105469</t>
  </si>
  <si>
    <t>94884315</t>
  </si>
  <si>
    <t>9000102164</t>
  </si>
  <si>
    <t>04151049</t>
  </si>
  <si>
    <t>9000204356</t>
  </si>
  <si>
    <t>9000159183</t>
  </si>
  <si>
    <t>9000157632</t>
  </si>
  <si>
    <t>9000158128</t>
  </si>
  <si>
    <t>66609356</t>
  </si>
  <si>
    <t>9000101306</t>
  </si>
  <si>
    <t>62830066</t>
  </si>
  <si>
    <t>9000193308</t>
  </si>
  <si>
    <t>35730129</t>
  </si>
  <si>
    <t>76000265</t>
  </si>
  <si>
    <t>74925083</t>
  </si>
  <si>
    <t>10300252</t>
  </si>
  <si>
    <t>9000113630</t>
  </si>
  <si>
    <t>35524375</t>
  </si>
  <si>
    <t>52184781</t>
  </si>
  <si>
    <t>84872365</t>
  </si>
  <si>
    <t>67576061</t>
  </si>
  <si>
    <t>09105361</t>
  </si>
  <si>
    <t>81123574</t>
  </si>
  <si>
    <t>17087767</t>
  </si>
  <si>
    <t>92889735</t>
  </si>
  <si>
    <t>9000178980</t>
  </si>
  <si>
    <t>04021291</t>
  </si>
  <si>
    <t>9000172743</t>
  </si>
  <si>
    <t>65054369</t>
  </si>
  <si>
    <t>52733351</t>
  </si>
  <si>
    <t>9000169959</t>
  </si>
  <si>
    <t>90925769</t>
  </si>
  <si>
    <t>9000188138</t>
  </si>
  <si>
    <t>9000186616</t>
  </si>
  <si>
    <t>9000119877</t>
  </si>
  <si>
    <t>04421095</t>
  </si>
  <si>
    <t>73725072</t>
  </si>
  <si>
    <t>52274381</t>
  </si>
  <si>
    <t>19978502</t>
  </si>
  <si>
    <t>9000147564</t>
  </si>
  <si>
    <t>9000147517</t>
  </si>
  <si>
    <t>62383787</t>
  </si>
  <si>
    <t>28627822</t>
  </si>
  <si>
    <t>74754866</t>
  </si>
  <si>
    <t>14907836</t>
  </si>
  <si>
    <t>70187711</t>
  </si>
  <si>
    <t>64750167</t>
  </si>
  <si>
    <t>29303559</t>
  </si>
  <si>
    <t>9000159481</t>
  </si>
  <si>
    <t>54388074</t>
  </si>
  <si>
    <t>9000166478</t>
  </si>
  <si>
    <t>25125770</t>
  </si>
  <si>
    <t>27559734</t>
  </si>
  <si>
    <t>48082571</t>
  </si>
  <si>
    <t>04011169</t>
  </si>
  <si>
    <t>40585743</t>
  </si>
  <si>
    <t>59807555</t>
  </si>
  <si>
    <t>9000151180</t>
  </si>
  <si>
    <t>9000179740</t>
  </si>
  <si>
    <t>42806046</t>
  </si>
  <si>
    <t>04010070</t>
  </si>
  <si>
    <t>80800084</t>
  </si>
  <si>
    <t>90653734</t>
  </si>
  <si>
    <t>04006524</t>
  </si>
  <si>
    <t>9000177339</t>
  </si>
  <si>
    <t>9000150621</t>
  </si>
  <si>
    <t>64105041</t>
  </si>
  <si>
    <t>42409870</t>
  </si>
  <si>
    <t>9000150745</t>
  </si>
  <si>
    <t>84821345</t>
  </si>
  <si>
    <t>14685744</t>
  </si>
  <si>
    <t>40028267</t>
  </si>
  <si>
    <t>65554353</t>
  </si>
  <si>
    <t>75205041</t>
  </si>
  <si>
    <t>46223762</t>
  </si>
  <si>
    <t>28625765</t>
  </si>
  <si>
    <t>28702778</t>
  </si>
  <si>
    <t>98058355</t>
  </si>
  <si>
    <t>04000188</t>
  </si>
  <si>
    <t>74125044</t>
  </si>
  <si>
    <t>9000115209</t>
  </si>
  <si>
    <t>9000147562</t>
  </si>
  <si>
    <t>74288555</t>
  </si>
  <si>
    <t>9000129639</t>
  </si>
  <si>
    <t>41385551</t>
  </si>
  <si>
    <t>42135371</t>
  </si>
  <si>
    <t>9000158996</t>
  </si>
  <si>
    <t>9000192142</t>
  </si>
  <si>
    <t>9000153818</t>
  </si>
  <si>
    <t>9000153902</t>
  </si>
  <si>
    <t>04018719</t>
  </si>
  <si>
    <t>9000147422</t>
  </si>
  <si>
    <t>9000105583</t>
  </si>
  <si>
    <t>06678831</t>
  </si>
  <si>
    <t>78081238</t>
  </si>
  <si>
    <t>98903314</t>
  </si>
  <si>
    <t>95158260</t>
  </si>
  <si>
    <t>66005078</t>
  </si>
  <si>
    <t>9000184412</t>
  </si>
  <si>
    <t>36279501</t>
  </si>
  <si>
    <t>9000168810</t>
  </si>
  <si>
    <t>9000148110</t>
  </si>
  <si>
    <t>82770085</t>
  </si>
  <si>
    <t>73820059</t>
  </si>
  <si>
    <t>76870057</t>
  </si>
  <si>
    <t>74870076</t>
  </si>
  <si>
    <t>9000163216</t>
  </si>
  <si>
    <t>10338381</t>
  </si>
  <si>
    <t>13037366</t>
  </si>
  <si>
    <t>29929571</t>
  </si>
  <si>
    <t>37780778</t>
  </si>
  <si>
    <t>9000156363</t>
  </si>
  <si>
    <t>9000180821</t>
  </si>
  <si>
    <t>9000164541</t>
  </si>
  <si>
    <t>61050261</t>
  </si>
  <si>
    <t>9000164606</t>
  </si>
  <si>
    <t>9000164665</t>
  </si>
  <si>
    <t>9000164677</t>
  </si>
  <si>
    <t>9000164759</t>
  </si>
  <si>
    <t>9000164769</t>
  </si>
  <si>
    <t>9000164714</t>
  </si>
  <si>
    <t>9000164545</t>
  </si>
  <si>
    <t>04004313</t>
  </si>
  <si>
    <t>9000197279</t>
  </si>
  <si>
    <t>9000149299</t>
  </si>
  <si>
    <t>9000151588</t>
  </si>
  <si>
    <t>9000172016</t>
  </si>
  <si>
    <t>9000142825</t>
  </si>
  <si>
    <t>49708864</t>
  </si>
  <si>
    <t>9000161014</t>
  </si>
  <si>
    <t>9000144048</t>
  </si>
  <si>
    <t>02620812</t>
  </si>
  <si>
    <t>07725779</t>
  </si>
  <si>
    <t>29734860</t>
  </si>
  <si>
    <t>16177754</t>
  </si>
  <si>
    <t>9000145705</t>
  </si>
  <si>
    <t>9000163674</t>
  </si>
  <si>
    <t>9000156518</t>
  </si>
  <si>
    <t>27728757</t>
  </si>
  <si>
    <t>04835047</t>
  </si>
  <si>
    <t>45256781</t>
  </si>
  <si>
    <t>9000144982</t>
  </si>
  <si>
    <t>68085770</t>
  </si>
  <si>
    <t>11777869</t>
  </si>
  <si>
    <t>31678564</t>
  </si>
  <si>
    <t>9000177065</t>
  </si>
  <si>
    <t>41937538</t>
  </si>
  <si>
    <t>04008504</t>
  </si>
  <si>
    <t>9000179245</t>
  </si>
  <si>
    <t>9000208555</t>
  </si>
  <si>
    <t>9000185036</t>
  </si>
  <si>
    <t>04012381</t>
  </si>
  <si>
    <t>04005005</t>
  </si>
  <si>
    <t>58451340</t>
  </si>
  <si>
    <t>01313923</t>
  </si>
  <si>
    <t>29606888</t>
  </si>
  <si>
    <t>92727743</t>
  </si>
  <si>
    <t>22923756</t>
  </si>
  <si>
    <t>10820051</t>
  </si>
  <si>
    <t>22557261</t>
  </si>
  <si>
    <t>75024764</t>
  </si>
  <si>
    <t>77080572</t>
  </si>
  <si>
    <t>29604575</t>
  </si>
  <si>
    <t>73100374</t>
  </si>
  <si>
    <t>86457560</t>
  </si>
  <si>
    <t>31022502</t>
  </si>
  <si>
    <t>26135035</t>
  </si>
  <si>
    <t>9000198698</t>
  </si>
  <si>
    <t>61820059</t>
  </si>
  <si>
    <t>9000145789</t>
  </si>
  <si>
    <t>70935564</t>
  </si>
  <si>
    <t>9000144096</t>
  </si>
  <si>
    <t>17402221</t>
  </si>
  <si>
    <t>9000185357</t>
  </si>
  <si>
    <t>9000164771</t>
  </si>
  <si>
    <t>9000164763</t>
  </si>
  <si>
    <t>04126041</t>
  </si>
  <si>
    <t>19834331</t>
  </si>
  <si>
    <t>04250049</t>
  </si>
  <si>
    <t>15009386</t>
  </si>
  <si>
    <t>59778504</t>
  </si>
  <si>
    <t>9000149287</t>
  </si>
  <si>
    <t>29423813</t>
  </si>
  <si>
    <t>9000148316</t>
  </si>
  <si>
    <t>9000148305</t>
  </si>
  <si>
    <t>9000149321</t>
  </si>
  <si>
    <t>27320251</t>
  </si>
  <si>
    <t>86730100</t>
  </si>
  <si>
    <t>9000167691</t>
  </si>
  <si>
    <t>9000206262</t>
  </si>
  <si>
    <t>04006326</t>
  </si>
  <si>
    <t>69800073</t>
  </si>
  <si>
    <t>40571025</t>
  </si>
  <si>
    <t>9000124860</t>
  </si>
  <si>
    <t>15780066</t>
  </si>
  <si>
    <t>32958064</t>
  </si>
  <si>
    <t>48638579</t>
  </si>
  <si>
    <t>45725870</t>
  </si>
  <si>
    <t>24372846</t>
  </si>
  <si>
    <t>9000162064</t>
  </si>
  <si>
    <t>36583758</t>
  </si>
  <si>
    <t>04054342</t>
  </si>
  <si>
    <t>26306778</t>
  </si>
  <si>
    <t>04021697</t>
  </si>
  <si>
    <t>01334101</t>
  </si>
  <si>
    <t>9000153391</t>
  </si>
  <si>
    <t>9000151651</t>
  </si>
  <si>
    <t>62657763</t>
  </si>
  <si>
    <t>9000161872</t>
  </si>
  <si>
    <t>08683778</t>
  </si>
  <si>
    <t>9000160483</t>
  </si>
  <si>
    <t>75302373</t>
  </si>
  <si>
    <t>9000160985</t>
  </si>
  <si>
    <t>9000157678</t>
  </si>
  <si>
    <t>9000174255</t>
  </si>
  <si>
    <t>9000178175</t>
  </si>
  <si>
    <t>9000171183</t>
  </si>
  <si>
    <t>9000102407</t>
  </si>
  <si>
    <t>03700038</t>
  </si>
  <si>
    <t>90889037</t>
  </si>
  <si>
    <t>9000164768</t>
  </si>
  <si>
    <t>24835854</t>
  </si>
  <si>
    <t>9000182889</t>
  </si>
  <si>
    <t>61257044</t>
  </si>
  <si>
    <t>08171785</t>
  </si>
  <si>
    <t>9000148323</t>
  </si>
  <si>
    <t>9000148149</t>
  </si>
  <si>
    <t>06501575</t>
  </si>
  <si>
    <t>9000141709</t>
  </si>
  <si>
    <t>46324275</t>
  </si>
  <si>
    <t>05804345</t>
  </si>
  <si>
    <t>68522282</t>
  </si>
  <si>
    <t>9000181273</t>
  </si>
  <si>
    <t>64352854</t>
  </si>
  <si>
    <t>04357558</t>
  </si>
  <si>
    <t>66353785</t>
  </si>
  <si>
    <t>60859059</t>
  </si>
  <si>
    <t>9000159380</t>
  </si>
  <si>
    <t>9000191473</t>
  </si>
  <si>
    <t>9000168175</t>
  </si>
  <si>
    <t>9000185331</t>
  </si>
  <si>
    <t>26781239</t>
  </si>
  <si>
    <t>9000202843</t>
  </si>
  <si>
    <t>90678761</t>
  </si>
  <si>
    <t>9000153949</t>
  </si>
  <si>
    <t>9000189780</t>
  </si>
  <si>
    <t>9000192201</t>
  </si>
  <si>
    <t>9000164211</t>
  </si>
  <si>
    <t>82327076</t>
  </si>
  <si>
    <t>9000186685</t>
  </si>
  <si>
    <t>74575724</t>
  </si>
  <si>
    <t>9000198095</t>
  </si>
  <si>
    <t>45179506</t>
  </si>
  <si>
    <r>
      <rPr>
        <b/>
        <sz val="11"/>
        <color theme="0"/>
        <rFont val="Myriad Pro"/>
      </rPr>
      <t>Structural</t>
    </r>
    <r>
      <rPr>
        <b/>
        <sz val="10"/>
        <color theme="0"/>
        <rFont val="Myriad Pro"/>
      </rPr>
      <t xml:space="preserve"> (Capped at 100)</t>
    </r>
  </si>
  <si>
    <t>Structural Measure Status</t>
  </si>
  <si>
    <t>Measure Met</t>
  </si>
  <si>
    <t>Measure Not Met</t>
  </si>
  <si>
    <t>- The Overview Page will be used to input the PCMP name and identifier, as well as summarize the measures selected.</t>
  </si>
  <si>
    <t>Don't forget to save the workbook to your computer before closing to save your work! You may also print your selections from the Overview Page.</t>
  </si>
  <si>
    <t>Close the Gap Measure Helper List</t>
  </si>
  <si>
    <t>Adult</t>
  </si>
  <si>
    <t>Measure Set</t>
  </si>
  <si>
    <t>Mandatory</t>
  </si>
  <si>
    <t>Additional Clinical</t>
  </si>
  <si>
    <t>Maximum Total Points</t>
  </si>
  <si>
    <t>Additional Structural</t>
  </si>
  <si>
    <t>Measure Selection Tab Measure Helper List - Adult</t>
  </si>
  <si>
    <t>Measure Selection Tab Measure Helper List - Child</t>
  </si>
  <si>
    <t>Type</t>
  </si>
  <si>
    <t>Peds</t>
  </si>
  <si>
    <t>Adult Measure Set (1)</t>
  </si>
  <si>
    <t>Child Measure Set (2)</t>
  </si>
  <si>
    <r>
      <rPr>
        <b/>
        <sz val="11"/>
        <color theme="1"/>
        <rFont val="Myriad Pro"/>
      </rPr>
      <t>- If you qualify as a Patient Centered Medical Home (PCMH)</t>
    </r>
    <r>
      <rPr>
        <sz val="11"/>
        <color theme="1"/>
        <rFont val="Myriad Pro"/>
      </rPr>
      <t>:</t>
    </r>
  </si>
  <si>
    <t>9000204021</t>
  </si>
  <si>
    <t>- Input fields (columns D-G) will be highlighted yellow for selected measures.</t>
  </si>
  <si>
    <t>- Estimated points will populate in column N based on the practice's input in columns D-G.</t>
  </si>
  <si>
    <t>9000153819</t>
  </si>
  <si>
    <t>9000211103</t>
  </si>
  <si>
    <t>9000208343</t>
  </si>
  <si>
    <t>9000209892</t>
  </si>
  <si>
    <t>9000195010</t>
  </si>
  <si>
    <t>9000176672</t>
  </si>
  <si>
    <t>9000174726</t>
  </si>
  <si>
    <t>9000169716</t>
  </si>
  <si>
    <t>9000176751</t>
  </si>
  <si>
    <t>9000146132</t>
  </si>
  <si>
    <t>9000200593</t>
  </si>
  <si>
    <t>93755741</t>
  </si>
  <si>
    <t>TBD</t>
  </si>
  <si>
    <t>Controlling High Blood Pressure</t>
  </si>
  <si>
    <t>Cervical Cancer Screening</t>
  </si>
  <si>
    <r>
      <t xml:space="preserve">- At the top of the Overview Page, ensure that your PCMP Name and PCMP ID have been populated. Only input one PCMP ID per workbook. If you receive an error related to the PCMP ID input and are not sure what the correct ID should be, please reach out to your RAE or HCPF. </t>
    </r>
    <r>
      <rPr>
        <b/>
        <sz val="11"/>
        <rFont val="Myriad Pro"/>
      </rPr>
      <t>Please include the same PCMP ID entered on the Overview Page in the title of the workbook!</t>
    </r>
  </si>
  <si>
    <t>- If there are any errors or issues with the measures selected that would prohibit the PCMP's measure selection from being approved, those errors will be displayed on the Overview Page. Potential error messages may be related to:</t>
  </si>
  <si>
    <t>Behavioral Health Integration</t>
  </si>
  <si>
    <t>Emergency Department and Hospital Follow-Up</t>
  </si>
  <si>
    <t>2024 Performance (%)</t>
  </si>
  <si>
    <t>CBE 1407</t>
  </si>
  <si>
    <t>CBE 0032</t>
  </si>
  <si>
    <t>CBE 0033</t>
  </si>
  <si>
    <t>CBE 1516</t>
  </si>
  <si>
    <t>CBE 1392</t>
  </si>
  <si>
    <t>CBE 0038</t>
  </si>
  <si>
    <t>CBE 0418</t>
  </si>
  <si>
    <t>CBE 2372</t>
  </si>
  <si>
    <t>Do you have PCMH Status?</t>
  </si>
  <si>
    <r>
      <t xml:space="preserve">- At the top of </t>
    </r>
    <r>
      <rPr>
        <b/>
        <sz val="11"/>
        <color theme="1"/>
        <rFont val="Myriad Pro"/>
      </rPr>
      <t>tab</t>
    </r>
    <r>
      <rPr>
        <sz val="11"/>
        <color theme="1"/>
        <rFont val="Myriad Pro"/>
      </rPr>
      <t xml:space="preserve"> </t>
    </r>
    <r>
      <rPr>
        <b/>
        <sz val="11"/>
        <color theme="1"/>
        <rFont val="Myriad Pro"/>
      </rPr>
      <t>1. Measure Selection</t>
    </r>
    <r>
      <rPr>
        <sz val="11"/>
        <color theme="1"/>
        <rFont val="Myriad Pro"/>
      </rPr>
      <t xml:space="preserve">, indicate the mandatory measure set you are reporting on as well as if you have PCMH status. </t>
    </r>
  </si>
  <si>
    <t>- In column E, select your 10 measures (or 6 measures for those with PCMH status). Be sure to include mandatory measures in your selections.</t>
  </si>
  <si>
    <t>9000209600</t>
  </si>
  <si>
    <t>07009216</t>
  </si>
  <si>
    <t>9000198098</t>
  </si>
  <si>
    <t>9000204534</t>
  </si>
  <si>
    <t>9000211946</t>
  </si>
  <si>
    <t>9000204330</t>
  </si>
  <si>
    <t>29854075</t>
  </si>
  <si>
    <t>9000201022</t>
  </si>
  <si>
    <t>9000193178</t>
  </si>
  <si>
    <t>9000208645</t>
  </si>
  <si>
    <t>9000164764</t>
  </si>
  <si>
    <t>70200254</t>
  </si>
  <si>
    <t>9000173658</t>
  </si>
  <si>
    <t>9000205904</t>
  </si>
  <si>
    <t>68880065</t>
  </si>
  <si>
    <t>9000210669</t>
  </si>
  <si>
    <t>36012530</t>
  </si>
  <si>
    <t>Instructions for Completing the 2025 APM Workbook</t>
  </si>
  <si>
    <r>
      <t xml:space="preserve">- </t>
    </r>
    <r>
      <rPr>
        <b/>
        <sz val="11"/>
        <color theme="1"/>
        <rFont val="Myriad Pro"/>
      </rPr>
      <t xml:space="preserve">Only the "Overview Page" and "1. Measure Selection" tabs are required to be completed in their entirety before submission via the Smart Sheet survey in order to finalize the practice's 2025 measure selection. </t>
    </r>
    <r>
      <rPr>
        <sz val="11"/>
        <color theme="1"/>
        <rFont val="Myriad Pro"/>
      </rPr>
      <t>The "2. Close the Gap Calculator" and "3. Dashboard" tabs may be used as a resource to help practices select their measures and track progress throughout the performance year. These tabs are not required to be completed as a part of the measure selection submission.</t>
    </r>
  </si>
  <si>
    <t>- The purpose of the Measure Selection tab is to record which measures you have chosen to gauge your performance for PY 2025.</t>
  </si>
  <si>
    <t>- Refer to the 2025 APM Guidebook and Measure Set Master List on the APM website for details regarding point calculations.</t>
  </si>
  <si>
    <t>- Refer to the 2025 APM Guidebook and Measure Set Master List on the APM website for more guidance.</t>
  </si>
  <si>
    <t>2025 APM Measure Selection Overview Page</t>
  </si>
  <si>
    <t xml:space="preserve">2025 APM Measure Selection Menu </t>
  </si>
  <si>
    <t>2025 APM Close the Gap Calculator</t>
  </si>
  <si>
    <t>2025 Performance (%)</t>
  </si>
  <si>
    <t>2025 Statewide Goal (%)</t>
  </si>
  <si>
    <t xml:space="preserve">Gap Between 2024 Performance and Statewide Goal </t>
  </si>
  <si>
    <t>Improvement Needed in 2025 to Close the Gap by 10%</t>
  </si>
  <si>
    <t>2025 Performance Needed to Close the Gap by 10%</t>
  </si>
  <si>
    <t xml:space="preserve">2025 APM Score Dashboard </t>
  </si>
  <si>
    <t>9000214875</t>
  </si>
  <si>
    <t>9000227852</t>
  </si>
  <si>
    <t>96287837</t>
  </si>
  <si>
    <t>9000193623</t>
  </si>
  <si>
    <t>9000198305</t>
  </si>
  <si>
    <t>9000224288</t>
  </si>
  <si>
    <t>9000224728</t>
  </si>
  <si>
    <t>9000233159</t>
  </si>
  <si>
    <t>Updated: 12/31/2025</t>
  </si>
  <si>
    <t>Glycemic Status Assessment for Patients with Diabetes</t>
  </si>
  <si>
    <t>CBE 0059</t>
  </si>
  <si>
    <t>CBE 0018</t>
  </si>
  <si>
    <t>Immunizations for Adolescents (Combo 2)</t>
  </si>
  <si>
    <t>Child and Adolescent Well-Care Visits</t>
  </si>
  <si>
    <t>Contraceptive Care - All Women</t>
  </si>
  <si>
    <t>Developmental Screening in the First Three Years of Life</t>
  </si>
  <si>
    <t xml:space="preserve">Glycemic Status Assessment for Patients with Diabetes </t>
  </si>
  <si>
    <t xml:space="preserve">Controlling High Blood Pressure </t>
  </si>
  <si>
    <t>Overview Page - Error List</t>
  </si>
  <si>
    <t>Error: You have selected too many measures. Please select 10 total measures.</t>
  </si>
  <si>
    <t>Error: You have not selected enough measures. Please select 10 total measures.</t>
  </si>
  <si>
    <t>Error: You cannot select more than 5 structural measures</t>
  </si>
  <si>
    <t>Error: Please select a valid measure</t>
  </si>
  <si>
    <t>Overview Page - Error</t>
  </si>
  <si>
    <t>Adult or Peds set not selected</t>
  </si>
  <si>
    <t>Not enough possible mandatory measures selected</t>
  </si>
  <si>
    <t>Non-PCMH too many measures</t>
  </si>
  <si>
    <t>PCMH too many measures</t>
  </si>
  <si>
    <t>Non-PCMH not enough measures</t>
  </si>
  <si>
    <t>PCMH not enough measures</t>
  </si>
  <si>
    <t>Error: You have selected too many measures. PCMH Recognized practices can only select 6 total measures.</t>
  </si>
  <si>
    <t>Error: You have not selected enough measures. Please select 6 total measures.</t>
  </si>
  <si>
    <t>Non-PCMH only - selected over 5 structural measures</t>
  </si>
  <si>
    <t>PCMH selected boxes in the hidden structural measure area</t>
  </si>
  <si>
    <t>Admin and eCQM selected</t>
  </si>
  <si>
    <t>Error: You cannot select both the administrative and eCQM version of the same measure.</t>
  </si>
  <si>
    <t>selected blank selection box as adult pcmp</t>
  </si>
  <si>
    <t>selected blank selection box as pediatric pcmp</t>
  </si>
  <si>
    <t>Error: Please select a valid adult measure.</t>
  </si>
  <si>
    <t>Error: Please select a valid pediatric measure.</t>
  </si>
  <si>
    <t>PCMP Name and ID not entered</t>
  </si>
  <si>
    <t>PCMP Name only not entered</t>
  </si>
  <si>
    <t>PCMP ID only not entered</t>
  </si>
  <si>
    <t>Error: Please enter your PCMP Name and a valid PCMP ID</t>
  </si>
  <si>
    <t>Error: Please enter your PCMP Name</t>
  </si>
  <si>
    <t>Error: Please enter a valid PCMP ID</t>
  </si>
  <si>
    <t>Error box</t>
  </si>
  <si>
    <r>
      <t xml:space="preserve">Well Visits in the First 30 Months of Life </t>
    </r>
    <r>
      <rPr>
        <sz val="11"/>
        <rFont val="Aptos Narrow"/>
        <family val="2"/>
      </rPr>
      <t>—</t>
    </r>
    <r>
      <rPr>
        <sz val="11"/>
        <rFont val="Calibri"/>
        <family val="2"/>
        <scheme val="minor"/>
      </rPr>
      <t xml:space="preserve"> 0-15 Months</t>
    </r>
  </si>
  <si>
    <r>
      <t xml:space="preserve">Well Visits in the First 30 Months of Life </t>
    </r>
    <r>
      <rPr>
        <sz val="11"/>
        <rFont val="Aptos Narrow"/>
        <family val="2"/>
      </rPr>
      <t>—</t>
    </r>
    <r>
      <rPr>
        <sz val="11"/>
        <rFont val="Calibri"/>
        <family val="2"/>
        <scheme val="minor"/>
      </rPr>
      <t xml:space="preserve"> 15-30 Months</t>
    </r>
  </si>
  <si>
    <t>Possible Points - Stratified</t>
  </si>
  <si>
    <t>Family Practice - Adult in mandatory measures (Pediatric Mandatory Option #)</t>
  </si>
  <si>
    <t>Alternative Mandatory</t>
  </si>
  <si>
    <t>Once mandatory measures are selected, select the desired additional measures.</t>
  </si>
  <si>
    <t>Please ensure you have selected all mandatory adult measures, or from the alternate mandatory set if required.</t>
  </si>
  <si>
    <t>Please ensure you have selected all mandatory pediatric measures, or from the alternate mandatory set if required.</t>
  </si>
  <si>
    <t xml:space="preserve">      ●  You will automatically earn 100 Points for PCMH recognition. PCMH recognition must be specified on the "1. Measure Selection" tab.</t>
  </si>
  <si>
    <t>● Measures from the alternative mandatory list can be selected as additional measures.</t>
  </si>
  <si>
    <t xml:space="preserve">      ●  If you receive recognition credit, you must report a combination of six (6) measures, including the three mandatory measures</t>
  </si>
  <si>
    <r>
      <t>- The "</t>
    </r>
    <r>
      <rPr>
        <b/>
        <sz val="11"/>
        <color theme="1"/>
        <rFont val="Myriad Pro"/>
      </rPr>
      <t>3. Dashboard</t>
    </r>
    <r>
      <rPr>
        <sz val="11"/>
        <color theme="1"/>
        <rFont val="Myriad Pro"/>
      </rPr>
      <t>" tab requires no input from practices. The dashboard will automatically populate based on the measures selected and the measure performance input in the "</t>
    </r>
    <r>
      <rPr>
        <b/>
        <sz val="11"/>
        <color theme="1"/>
        <rFont val="Myriad Pro"/>
      </rPr>
      <t>2. Close the Gap Calculato</t>
    </r>
    <r>
      <rPr>
        <sz val="11"/>
        <color theme="1"/>
        <rFont val="Myriad Pro"/>
      </rPr>
      <t xml:space="preserve">r" tab. The purpose of this tab is to summarize all measures selected and their estimated points earned to determine total points achieved. Please remember that the Close the Gap Calculator and Dashboard tabs are </t>
    </r>
    <r>
      <rPr>
        <b/>
        <sz val="11"/>
        <color theme="1"/>
        <rFont val="Myriad Pro"/>
      </rPr>
      <t xml:space="preserve">optional </t>
    </r>
    <r>
      <rPr>
        <sz val="11"/>
        <color theme="1"/>
        <rFont val="Myriad Pro"/>
      </rPr>
      <t>and should be used purely as a resource.</t>
    </r>
  </si>
  <si>
    <r>
      <rPr>
        <sz val="11"/>
        <rFont val="Myriad Pro"/>
      </rPr>
      <t>- The "</t>
    </r>
    <r>
      <rPr>
        <b/>
        <sz val="11"/>
        <rFont val="Myriad Pro"/>
      </rPr>
      <t xml:space="preserve">2. Close the Gap Calculator" </t>
    </r>
    <r>
      <rPr>
        <sz val="11"/>
        <rFont val="Myriad Pro"/>
      </rPr>
      <t>tab is an optional tab to help you select the measures you'd like to report on by estimating the amount of points achieved based on your estimated rate improvement or proximity to the statewide goal. This tab can also be used as an ongoing resource throughout the performance year to track progress.</t>
    </r>
  </si>
  <si>
    <t>This workbook should be used to report to the Department the selected APM measures for the 2025 performance year. Once the measures selected are finalized and all potential errors on the Overview Page have been resolved, please proceed with submitting the workbook via the Smart Sheet survey link accessible in the APM 1 website.</t>
  </si>
  <si>
    <t>HCPF_primarycarepaymentreform@state.co.us</t>
  </si>
  <si>
    <t>Please note that full completion of the Overview Page and Measure Selection Tabs are mandatory for the acceptance of  this workbook. The rest is optional for your use in modeling point values.</t>
  </si>
  <si>
    <t>Please fill out the Measure Selection Tab before completing the Overview Page.</t>
  </si>
  <si>
    <t>Please select which mandatory set of measures you are reporting.</t>
  </si>
  <si>
    <r>
      <t xml:space="preserve">Glycemic Status Assessment for Patients with Diabetes
</t>
    </r>
    <r>
      <rPr>
        <b/>
        <i/>
        <sz val="10"/>
        <color theme="1"/>
        <rFont val="Myriad Pro"/>
      </rPr>
      <t>OTHERWISE</t>
    </r>
    <r>
      <rPr>
        <sz val="10"/>
        <color theme="1"/>
        <rFont val="Myriad Pro"/>
      </rPr>
      <t xml:space="preserve">
Select an Alternative Mandatory Measure</t>
    </r>
  </si>
  <si>
    <t>Updated 1.6.2025</t>
  </si>
  <si>
    <t>Childhood Immunization Status (Combo 10)</t>
  </si>
  <si>
    <t>65%, 73%</t>
  </si>
  <si>
    <t>Peds/Adult</t>
  </si>
  <si>
    <t>Selected measure from alternative measure set</t>
  </si>
  <si>
    <t>1234</t>
  </si>
  <si>
    <t>4023867</t>
  </si>
  <si>
    <t>4103040</t>
  </si>
  <si>
    <t>12345</t>
  </si>
  <si>
    <t>&lt;-- Example</t>
  </si>
  <si>
    <t>Screening for Depression and Follow-Up Plan (Ages 12-17)</t>
  </si>
  <si>
    <t xml:space="preserve">Screening for Depression and Follow-Up Plan (Ages 12-17) </t>
  </si>
  <si>
    <t>Screening for Depression and Follow-Up Plan (Ages 18+)</t>
  </si>
  <si>
    <t>Screening for Depression and Follow-Up Plan  (Ages 18+)</t>
  </si>
  <si>
    <r>
      <t xml:space="preserve">Controlling High Blood Pressure
</t>
    </r>
    <r>
      <rPr>
        <b/>
        <i/>
        <sz val="10"/>
        <color theme="1"/>
        <rFont val="Myriad Pro"/>
      </rPr>
      <t>OTHERWISE</t>
    </r>
    <r>
      <rPr>
        <sz val="10"/>
        <color theme="1"/>
        <rFont val="Myriad Pro"/>
      </rPr>
      <t xml:space="preserve">
Select an Alternative Mandatory Measure
</t>
    </r>
  </si>
  <si>
    <r>
      <t xml:space="preserve">Screening for Depression and Follow-Up Plan (Ages 18+)
</t>
    </r>
    <r>
      <rPr>
        <b/>
        <i/>
        <sz val="10"/>
        <color theme="1"/>
        <rFont val="Myriad Pro"/>
      </rPr>
      <t>OTHERWISE</t>
    </r>
    <r>
      <rPr>
        <sz val="10"/>
        <color theme="1"/>
        <rFont val="Myriad Pro"/>
      </rPr>
      <t xml:space="preserve">
Select an Alternative Mandatory Measure</t>
    </r>
  </si>
  <si>
    <t>V5</t>
  </si>
  <si>
    <t>V6</t>
  </si>
  <si>
    <t>V7</t>
  </si>
  <si>
    <t>V8</t>
  </si>
  <si>
    <t>V9</t>
  </si>
  <si>
    <t>V10</t>
  </si>
  <si>
    <t>V11</t>
  </si>
  <si>
    <t>V12</t>
  </si>
  <si>
    <t>V13</t>
  </si>
  <si>
    <t>V14</t>
  </si>
  <si>
    <t>V15</t>
  </si>
  <si>
    <t>V16</t>
  </si>
  <si>
    <t>V17</t>
  </si>
  <si>
    <t>V18</t>
  </si>
  <si>
    <t>V19</t>
  </si>
  <si>
    <t>V20</t>
  </si>
  <si>
    <t>Error: You can only select one age group for the measure, Screening for Depression and Follow-Plan</t>
  </si>
  <si>
    <t>Chlamydia Screening in Women (Ages 16-24)</t>
  </si>
  <si>
    <t xml:space="preserve">- If you are unable to report on one or more of the mandatory measures, you may select an alternative measure from the opposite measure set. If you cannot report on one or more of the mandatory measures from either the adult and pediatric measures sets due to insufficient denominator or reporting capability issues, please notify your RAE coach and HCPF to discuss alternative options. </t>
  </si>
  <si>
    <t xml:space="preserve">- For this program year, the following denominator requirements must be met for PCMPs to be eligible to receive full points on a measure: </t>
  </si>
  <si>
    <r>
      <t xml:space="preserve">Childhood Immunization Status (Combo 10)
</t>
    </r>
    <r>
      <rPr>
        <b/>
        <i/>
        <sz val="10"/>
        <color theme="1"/>
        <rFont val="Myriad Pro"/>
      </rPr>
      <t>OR</t>
    </r>
    <r>
      <rPr>
        <sz val="10"/>
        <color theme="1"/>
        <rFont val="Myriad Pro"/>
      </rPr>
      <t xml:space="preserve">
Immunizations for Adolescents (Combo 2)
</t>
    </r>
    <r>
      <rPr>
        <b/>
        <i/>
        <sz val="10"/>
        <color theme="1"/>
        <rFont val="Myriad Pro"/>
      </rPr>
      <t>OTHERWISE</t>
    </r>
    <r>
      <rPr>
        <sz val="10"/>
        <color theme="1"/>
        <rFont val="Myriad Pro"/>
      </rPr>
      <t xml:space="preserve">
Select an Alternative Mandatory Measure</t>
    </r>
  </si>
  <si>
    <r>
      <t xml:space="preserve">Child and Adolescent Well Visits
</t>
    </r>
    <r>
      <rPr>
        <b/>
        <i/>
        <sz val="10"/>
        <color theme="1"/>
        <rFont val="Myriad Pro"/>
      </rPr>
      <t>OR</t>
    </r>
    <r>
      <rPr>
        <sz val="10"/>
        <color theme="1"/>
        <rFont val="Myriad Pro"/>
      </rPr>
      <t xml:space="preserve">
Well Visits in the First 30 Months of Life
</t>
    </r>
    <r>
      <rPr>
        <b/>
        <i/>
        <sz val="10"/>
        <color theme="1"/>
        <rFont val="Myriad Pro"/>
      </rPr>
      <t>OTHERWISE</t>
    </r>
    <r>
      <rPr>
        <sz val="10"/>
        <color theme="1"/>
        <rFont val="Myriad Pro"/>
      </rPr>
      <t xml:space="preserve">
Select an Alternative Mandatory Measure</t>
    </r>
  </si>
  <si>
    <r>
      <t xml:space="preserve">Screening for Depression and Follow-Up Plan (Ages 12-17)
</t>
    </r>
    <r>
      <rPr>
        <b/>
        <i/>
        <sz val="10"/>
        <color theme="1"/>
        <rFont val="Myriad Pro"/>
      </rPr>
      <t>OTHERWISE</t>
    </r>
    <r>
      <rPr>
        <sz val="10"/>
        <color theme="1"/>
        <rFont val="Myriad Pro"/>
      </rPr>
      <t xml:space="preserve">
Select an Alternative Mandatory Measure</t>
    </r>
  </si>
  <si>
    <t xml:space="preserve">Alternative Mandatory Measures: </t>
  </si>
  <si>
    <t>CMS 2</t>
  </si>
  <si>
    <t>CMS 117</t>
  </si>
  <si>
    <t>OHSU 1003</t>
  </si>
  <si>
    <t>CMS 165</t>
  </si>
  <si>
    <t>CBE 2903/2904</t>
  </si>
  <si>
    <t>CMS 153</t>
  </si>
  <si>
    <t>CMS 125</t>
  </si>
  <si>
    <t>CMS 124</t>
  </si>
  <si>
    <t>CMS 130</t>
  </si>
  <si>
    <t>Chlamydia Screening in Women (16-24)</t>
  </si>
  <si>
    <t>Screening for Depression and Follow-Up Plan (Ages 18+) ● Adult Mandatory 1</t>
  </si>
  <si>
    <t>Glycemic Status Assessment for Patients with Diabetes ● Adult Mandatory 2</t>
  </si>
  <si>
    <t>Controlling High Blood Pressure ● Adult Mandatory 3</t>
  </si>
  <si>
    <t>Childhood Immunization Status (Combo 10) ● Pediatric Mandatory 1</t>
  </si>
  <si>
    <t>Immunizations for Adolescents (Combo 2) ● Pediatric Mandatory 1</t>
  </si>
  <si>
    <t>Child and Adolescent Well-Care Visits ● Pediatric Mandatory 2</t>
  </si>
  <si>
    <t>Well Visits in the First 30 Months of Life ● Pediatric Mandatory 2</t>
  </si>
  <si>
    <t>Screening for Depression and Follow-Up Plan (Ages 12-17) ● Pediatric Mandatory 3</t>
  </si>
  <si>
    <t>Controlling High Blood Pressure ● Adult Mandatory 3*</t>
  </si>
  <si>
    <t>Denominator Size 2025 (eCQM 20+ and Admin 30+)</t>
  </si>
  <si>
    <t>- Your goal is to earn 200 points to qualify for the maximum available payment rates. To ensure you earn 200 points or more, select measures that are aligned with your patient populations.</t>
  </si>
  <si>
    <t>- The remaining seven (7) measures can be a combination of structural, administrative and eCQMs.</t>
  </si>
  <si>
    <t>Indicate whether you have PCMH status and select the measure set your practice will be reporting (Adult or Pediatric) to the right. Check box for selected measures in column E. Once measures are selected, review summary below. Resolve any errors identified before submitting. See the Workbook Instructions tab for more information.</t>
  </si>
  <si>
    <t>Alternative Mandatory Measures</t>
  </si>
  <si>
    <r>
      <rPr>
        <b/>
        <sz val="11"/>
        <rFont val="Myriad Pro"/>
      </rPr>
      <t>Instructions:</t>
    </r>
    <r>
      <rPr>
        <sz val="11"/>
        <rFont val="Myriad Pro"/>
      </rPr>
      <t xml:space="preserve"> For clinical measures, enter 2024 Performance in Column D to calculate the gap between 2025 performance to the statewide goal, 2025 improvement and performance needed to close the gap by 10%. You may enter actual or estimated 2025 performance in column F to calculate whether the statewide goal was met, the percentage of gap closed, and estimated earned points. The denominator size should be populated for both administrative measures and eCQMs, as this impacts the estimated earned points calculation. Ensure that you populate only the highlighted cells, as those are the cells of the measures you have chosen. </t>
    </r>
    <r>
      <rPr>
        <b/>
        <sz val="11"/>
        <rFont val="Myriad Pro"/>
      </rPr>
      <t xml:space="preserve">To earn full points on a measure, you must close the gap by at least 10% (column M) or meet the statewide goal (column I). </t>
    </r>
    <r>
      <rPr>
        <sz val="11"/>
        <rFont val="Myriad Pro"/>
      </rPr>
      <t>For selected structural measures, enter whether or not you have met the measure requirements for reporting to earn full points.</t>
    </r>
  </si>
  <si>
    <t>CMS 122v13</t>
  </si>
  <si>
    <t>Denominator Size 2024 (eCQM 20+)</t>
  </si>
  <si>
    <r>
      <t xml:space="preserve">● Electronic Clinical Quality Measures (eCQMs) require a </t>
    </r>
    <r>
      <rPr>
        <b/>
        <sz val="11"/>
        <rFont val="Myriad Pro"/>
      </rPr>
      <t>denominator of 20 or more</t>
    </r>
  </si>
  <si>
    <r>
      <t xml:space="preserve">● Administrative Measures require a </t>
    </r>
    <r>
      <rPr>
        <b/>
        <sz val="11"/>
        <rFont val="Myriad Pro"/>
      </rPr>
      <t>denominator of 30 or more</t>
    </r>
    <r>
      <rPr>
        <sz val="11"/>
        <rFont val="Myriad Pro"/>
      </rPr>
      <t xml:space="preserve"> (applicable only to 2025 data)</t>
    </r>
  </si>
  <si>
    <t>Adult Key</t>
  </si>
  <si>
    <t>Peds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</si>
</sst>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mmmm\ d\,\ yyyy;@"/>
    <numFmt numFmtId="166" formatCode="0.0"/>
    <numFmt numFmtId="167" formatCode="m/d;@"/>
  </numFmts>
  <fonts count="77">
    <font>
      <sz val="11"/>
      <color theme="1"/>
      <name val="Calibri"/>
      <family val="2"/>
      <scheme val="minor"/>
    </font>
    <font>
      <sz val="11"/>
      <color theme="1"/>
      <name val="Calibri"/>
      <family val="2"/>
      <scheme val="minor"/>
    </font>
    <font>
      <u/>
      <sz val="11"/>
      <color theme="10"/>
      <name val="Calibri"/>
      <family val="2"/>
      <scheme val="minor"/>
    </font>
    <font>
      <sz val="11"/>
      <color theme="1"/>
      <name val="Myriad Pro"/>
    </font>
    <font>
      <sz val="11"/>
      <name val="Myriad Pro"/>
    </font>
    <font>
      <b/>
      <sz val="11"/>
      <name val="Myriad Pro"/>
    </font>
    <font>
      <b/>
      <sz val="12"/>
      <name val="Myriad Pro"/>
    </font>
    <font>
      <sz val="12"/>
      <name val="Myriad Pro"/>
    </font>
    <font>
      <b/>
      <sz val="12"/>
      <color theme="1"/>
      <name val="Myriad Pro"/>
    </font>
    <font>
      <b/>
      <sz val="14"/>
      <color theme="1"/>
      <name val="Myriad Pro"/>
    </font>
    <font>
      <b/>
      <sz val="12"/>
      <color rgb="FF2E6380"/>
      <name val="Myriad Pro"/>
    </font>
    <font>
      <sz val="12"/>
      <color rgb="FF2E6380"/>
      <name val="Myriad Pro"/>
    </font>
    <font>
      <sz val="11"/>
      <color theme="0"/>
      <name val="Myriad Pro"/>
    </font>
    <font>
      <b/>
      <sz val="18"/>
      <color theme="0"/>
      <name val="Myriad Pro"/>
    </font>
    <font>
      <b/>
      <sz val="16"/>
      <color theme="0"/>
      <name val="Myriad Pro"/>
    </font>
    <font>
      <sz val="10"/>
      <name val="Myriad Pro"/>
    </font>
    <font>
      <b/>
      <sz val="16"/>
      <name val="Myriad Pro"/>
    </font>
    <font>
      <b/>
      <sz val="16"/>
      <color rgb="FFFF0000"/>
      <name val="Myriad Pro"/>
    </font>
    <font>
      <b/>
      <sz val="15"/>
      <name val="Myriad Pro"/>
    </font>
    <font>
      <sz val="10.5"/>
      <name val="Myriad Pro"/>
    </font>
    <font>
      <b/>
      <sz val="11"/>
      <color theme="0"/>
      <name val="Myriad Pro"/>
    </font>
    <font>
      <b/>
      <sz val="10"/>
      <color theme="0"/>
      <name val="Myriad Pro"/>
    </font>
    <font>
      <b/>
      <sz val="10"/>
      <color rgb="FF000000"/>
      <name val="Myriad Pro"/>
    </font>
    <font>
      <sz val="11"/>
      <color rgb="FF000000"/>
      <name val="Myriad Pro"/>
    </font>
    <font>
      <sz val="11"/>
      <color theme="0" tint="-0.34998626667073579"/>
      <name val="Myriad Pro"/>
    </font>
    <font>
      <sz val="11"/>
      <color theme="0"/>
      <name val="Calibri"/>
      <family val="2"/>
      <scheme val="minor"/>
    </font>
    <font>
      <sz val="16"/>
      <color theme="0"/>
      <name val="Tahoma"/>
      <family val="2"/>
    </font>
    <font>
      <sz val="10"/>
      <color theme="1"/>
      <name val="Myriad Pro"/>
    </font>
    <font>
      <b/>
      <i/>
      <sz val="10"/>
      <color theme="1"/>
      <name val="Myriad Pro"/>
    </font>
    <font>
      <sz val="12"/>
      <color theme="0"/>
      <name val="Myriad Pro"/>
    </font>
    <font>
      <sz val="12"/>
      <color theme="1"/>
      <name val="Myriad Pro"/>
    </font>
    <font>
      <sz val="12"/>
      <color rgb="FFFF0000"/>
      <name val="Myriad Pro"/>
    </font>
    <font>
      <b/>
      <sz val="14"/>
      <color rgb="FF2E6380"/>
      <name val="Myriad Pro"/>
    </font>
    <font>
      <b/>
      <u/>
      <sz val="12"/>
      <name val="Myriad Pro"/>
    </font>
    <font>
      <b/>
      <u/>
      <sz val="12"/>
      <color theme="1"/>
      <name val="Myriad Pro"/>
    </font>
    <font>
      <b/>
      <sz val="11"/>
      <color theme="1"/>
      <name val="Myriad Pro"/>
    </font>
    <font>
      <b/>
      <u/>
      <sz val="11"/>
      <color theme="1"/>
      <name val="Myriad Pro"/>
    </font>
    <font>
      <b/>
      <sz val="10"/>
      <color theme="1"/>
      <name val="Myriad Pro"/>
    </font>
    <font>
      <i/>
      <sz val="11"/>
      <color theme="1"/>
      <name val="Myriad Pro"/>
    </font>
    <font>
      <b/>
      <sz val="15"/>
      <color theme="1"/>
      <name val="Myriad Pro"/>
    </font>
    <font>
      <sz val="11"/>
      <name val="Calibri"/>
      <family val="2"/>
      <scheme val="minor"/>
    </font>
    <font>
      <b/>
      <sz val="15"/>
      <color theme="0"/>
      <name val="Myriad Pro"/>
    </font>
    <font>
      <b/>
      <sz val="14"/>
      <color theme="0"/>
      <name val="Myriad Pro"/>
    </font>
    <font>
      <sz val="14"/>
      <color theme="1"/>
      <name val="Myriad Pro"/>
    </font>
    <font>
      <u/>
      <sz val="11"/>
      <color theme="10"/>
      <name val="Myriad Pro"/>
    </font>
    <font>
      <b/>
      <sz val="20"/>
      <color theme="0"/>
      <name val="Myriad Pro"/>
    </font>
    <font>
      <b/>
      <sz val="15.2"/>
      <color theme="0"/>
      <name val="Myriad Pro"/>
    </font>
    <font>
      <sz val="16"/>
      <color theme="1"/>
      <name val="Myriad Pro"/>
    </font>
    <font>
      <b/>
      <sz val="16"/>
      <color rgb="FF2E6380"/>
      <name val="Myriad Pro"/>
    </font>
    <font>
      <b/>
      <sz val="16"/>
      <color theme="9" tint="-0.249977111117893"/>
      <name val="Myriad Pro"/>
    </font>
    <font>
      <b/>
      <sz val="22"/>
      <color rgb="FFC00000"/>
      <name val="Myriad Pro"/>
    </font>
    <font>
      <b/>
      <sz val="20"/>
      <color rgb="FFC00000"/>
      <name val="Myriad Pro"/>
    </font>
    <font>
      <b/>
      <sz val="20"/>
      <color rgb="FF2E6380"/>
      <name val="Myriad Pro"/>
    </font>
    <font>
      <b/>
      <sz val="22"/>
      <color rgb="FF7A962B"/>
      <name val="Myriad Pro"/>
    </font>
    <font>
      <b/>
      <sz val="9"/>
      <color theme="1"/>
      <name val="Myriad Pro"/>
    </font>
    <font>
      <b/>
      <sz val="9"/>
      <name val="Myriad Pro"/>
    </font>
    <font>
      <b/>
      <sz val="11"/>
      <color rgb="FFFF0000"/>
      <name val="Myriad Pro"/>
    </font>
    <font>
      <sz val="11"/>
      <color theme="0" tint="-0.249977111117893"/>
      <name val="Myriad Pro"/>
    </font>
    <font>
      <sz val="11"/>
      <color theme="0" tint="-4.9989318521683403E-2"/>
      <name val="Calibri"/>
      <family val="2"/>
      <scheme val="minor"/>
    </font>
    <font>
      <sz val="16"/>
      <color theme="0" tint="-4.9989318521683403E-2"/>
      <name val="Calibri"/>
      <family val="2"/>
      <scheme val="minor"/>
    </font>
    <font>
      <sz val="11"/>
      <color theme="0" tint="-4.9989318521683403E-2"/>
      <name val="Myriad Pro"/>
    </font>
    <font>
      <b/>
      <sz val="12"/>
      <color theme="0"/>
      <name val="Myriad Pro"/>
    </font>
    <font>
      <b/>
      <sz val="12"/>
      <color theme="0"/>
      <name val="Tahoma"/>
      <family val="2"/>
    </font>
    <font>
      <i/>
      <sz val="18"/>
      <color theme="1"/>
      <name val="Myriad Pro"/>
    </font>
    <font>
      <sz val="11"/>
      <color theme="1"/>
      <name val="Calibri"/>
      <family val="2"/>
    </font>
    <font>
      <sz val="10"/>
      <color rgb="FF000000"/>
      <name val="Calibri"/>
      <family val="2"/>
      <scheme val="minor"/>
    </font>
    <font>
      <b/>
      <sz val="11"/>
      <color theme="0"/>
      <name val="Calibri"/>
      <family val="2"/>
      <scheme val="minor"/>
    </font>
    <font>
      <sz val="11"/>
      <color rgb="FFFF0000"/>
      <name val="Calibri"/>
      <family val="2"/>
      <scheme val="minor"/>
    </font>
    <font>
      <b/>
      <sz val="11"/>
      <color theme="0"/>
      <name val="Aptos Narrow"/>
      <family val="2"/>
    </font>
    <font>
      <sz val="11"/>
      <color theme="1"/>
      <name val="Aptos Narrow"/>
      <family val="2"/>
    </font>
    <font>
      <sz val="11"/>
      <color rgb="FF000000"/>
      <name val="&quot;Aptos Narrow&quot;"/>
    </font>
    <font>
      <sz val="11"/>
      <color rgb="FF000000"/>
      <name val="Aptos Narrow"/>
      <family val="2"/>
    </font>
    <font>
      <sz val="11"/>
      <name val="Aptos Narrow"/>
      <family val="2"/>
    </font>
    <font>
      <sz val="8"/>
      <name val="Calibri"/>
      <family val="2"/>
      <scheme val="minor"/>
    </font>
    <font>
      <u/>
      <sz val="14"/>
      <color theme="10"/>
      <name val="Myriad Pro"/>
    </font>
    <font>
      <sz val="11"/>
      <color rgb="FFFF0000"/>
      <name val="Calibri"/>
      <family val="2"/>
    </font>
    <font>
      <sz val="14"/>
      <name val="Myriad Pro"/>
    </font>
  </fonts>
  <fills count="28">
    <fill>
      <patternFill patternType="none"/>
    </fill>
    <fill>
      <patternFill patternType="gray125"/>
    </fill>
    <fill>
      <patternFill patternType="solid">
        <fgColor theme="0"/>
        <bgColor indexed="64"/>
      </patternFill>
    </fill>
    <fill>
      <patternFill patternType="solid">
        <fgColor rgb="FF2E638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5F3D6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rgb="FFE9F2F7"/>
        <bgColor indexed="64"/>
      </patternFill>
    </fill>
    <fill>
      <patternFill patternType="solid">
        <fgColor rgb="FF7F5181"/>
        <bgColor indexed="64"/>
      </patternFill>
    </fill>
    <fill>
      <patternFill patternType="solid">
        <fgColor rgb="FF7AC142"/>
        <bgColor indexed="64"/>
      </patternFill>
    </fill>
    <fill>
      <patternFill patternType="solid">
        <fgColor rgb="FFE2D2E3"/>
        <bgColor indexed="64"/>
      </patternFill>
    </fill>
    <fill>
      <patternFill patternType="solid">
        <fgColor theme="0"/>
        <bgColor theme="0"/>
      </patternFill>
    </fill>
    <fill>
      <patternFill patternType="solid">
        <fgColor rgb="FFB4C6E7"/>
        <bgColor rgb="FFB4C6E7"/>
      </patternFill>
    </fill>
    <fill>
      <patternFill patternType="solid">
        <fgColor rgb="FFC9DAF8"/>
        <bgColor rgb="FFC9DAF8"/>
      </patternFill>
    </fill>
    <fill>
      <patternFill patternType="solid">
        <fgColor rgb="FFFFFF00"/>
        <bgColor rgb="FFFFFF00"/>
      </patternFill>
    </fill>
    <fill>
      <patternFill patternType="solid">
        <fgColor rgb="FF153D64"/>
        <bgColor rgb="FF153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D5D5"/>
        <bgColor indexed="64"/>
      </patternFill>
    </fill>
    <fill>
      <patternFill patternType="solid">
        <fgColor rgb="FFEDE2F6"/>
        <bgColor indexed="64"/>
      </patternFill>
    </fill>
    <fill>
      <patternFill patternType="solid">
        <fgColor theme="1" tint="4.9989318521683403E-2"/>
        <bgColor indexed="64"/>
      </patternFill>
    </fill>
    <fill>
      <patternFill patternType="solid">
        <fgColor theme="2" tint="-9.9978637043366805E-2"/>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theme="0" tint="-4.9989318521683403E-2"/>
      </bottom>
      <diagonal/>
    </border>
    <border>
      <left style="medium">
        <color theme="4" tint="0.79998168889431442"/>
      </left>
      <right style="medium">
        <color indexed="64"/>
      </right>
      <top/>
      <bottom style="medium">
        <color theme="0" tint="-4.9989318521683403E-2"/>
      </bottom>
      <diagonal/>
    </border>
    <border>
      <left style="thin">
        <color indexed="64"/>
      </left>
      <right style="thin">
        <color indexed="64"/>
      </right>
      <top style="medium">
        <color indexed="64"/>
      </top>
      <bottom style="thin">
        <color indexed="64"/>
      </bottom>
      <diagonal/>
    </border>
    <border>
      <left style="medium">
        <color indexed="64"/>
      </left>
      <right/>
      <top style="medium">
        <color rgb="FFE9F2F7"/>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medium">
        <color theme="0" tint="-4.9989318521683403E-2"/>
      </bottom>
      <diagonal/>
    </border>
    <border>
      <left/>
      <right style="medium">
        <color indexed="64"/>
      </right>
      <top/>
      <bottom style="medium">
        <color theme="0" tint="-4.9989318521683403E-2"/>
      </bottom>
      <diagonal/>
    </border>
    <border>
      <left style="medium">
        <color indexed="64"/>
      </left>
      <right/>
      <top style="medium">
        <color theme="0" tint="-4.9989318521683403E-2"/>
      </top>
      <bottom/>
      <diagonal/>
    </border>
    <border>
      <left/>
      <right/>
      <top style="medium">
        <color theme="0" tint="-4.9989318521683403E-2"/>
      </top>
      <bottom/>
      <diagonal/>
    </border>
    <border>
      <left/>
      <right style="medium">
        <color indexed="64"/>
      </right>
      <top style="medium">
        <color theme="0" tint="-4.9989318521683403E-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theme="0"/>
      </right>
      <top/>
      <bottom/>
      <diagonal/>
    </border>
    <border>
      <left style="medium">
        <color indexed="64"/>
      </left>
      <right style="medium">
        <color rgb="FFE9F2F7"/>
      </right>
      <top style="medium">
        <color rgb="FFE9F2F7"/>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bottom style="medium">
        <color rgb="FFE9F2F7"/>
      </bottom>
      <diagonal/>
    </border>
    <border>
      <left/>
      <right/>
      <top style="thick">
        <color auto="1"/>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65" fillId="0" borderId="0"/>
  </cellStyleXfs>
  <cellXfs count="588">
    <xf numFmtId="0" fontId="0" fillId="0" borderId="0" xfId="0"/>
    <xf numFmtId="0" fontId="0" fillId="2" borderId="0" xfId="0" applyFill="1"/>
    <xf numFmtId="0" fontId="4" fillId="2" borderId="18" xfId="0" quotePrefix="1" applyFont="1" applyFill="1" applyBorder="1" applyAlignment="1">
      <alignment wrapText="1"/>
    </xf>
    <xf numFmtId="0" fontId="3" fillId="2" borderId="21" xfId="0" applyFont="1" applyFill="1" applyBorder="1"/>
    <xf numFmtId="0" fontId="3" fillId="2" borderId="21" xfId="0" applyFont="1" applyFill="1" applyBorder="1" applyAlignment="1">
      <alignment vertical="center"/>
    </xf>
    <xf numFmtId="0" fontId="0" fillId="0" borderId="0" xfId="0" applyFill="1"/>
    <xf numFmtId="0" fontId="3" fillId="2" borderId="24" xfId="0" applyFont="1" applyFill="1" applyBorder="1" applyAlignment="1">
      <alignment vertical="center"/>
    </xf>
    <xf numFmtId="0" fontId="4" fillId="2" borderId="24" xfId="0" quotePrefix="1" applyFont="1" applyFill="1" applyBorder="1" applyAlignment="1">
      <alignment vertical="center" wrapText="1"/>
    </xf>
    <xf numFmtId="0" fontId="4" fillId="2" borderId="25" xfId="0" quotePrefix="1" applyFont="1" applyFill="1" applyBorder="1" applyAlignment="1">
      <alignment vertical="center"/>
    </xf>
    <xf numFmtId="0" fontId="4" fillId="7" borderId="18" xfId="0" quotePrefix="1" applyFont="1" applyFill="1" applyBorder="1" applyAlignment="1">
      <alignment vertical="center"/>
    </xf>
    <xf numFmtId="0" fontId="5" fillId="7" borderId="18" xfId="0" quotePrefix="1" applyFont="1" applyFill="1" applyBorder="1" applyAlignment="1">
      <alignment horizontal="left" vertical="center"/>
    </xf>
    <xf numFmtId="0" fontId="8" fillId="2" borderId="21" xfId="0" applyFont="1" applyFill="1" applyBorder="1" applyAlignment="1">
      <alignment vertical="center"/>
    </xf>
    <xf numFmtId="0" fontId="6" fillId="2" borderId="18" xfId="0" quotePrefix="1" applyFont="1" applyFill="1" applyBorder="1" applyAlignment="1">
      <alignment horizontal="left" vertical="center" wrapText="1"/>
    </xf>
    <xf numFmtId="0" fontId="3" fillId="2" borderId="22" xfId="0" applyFont="1" applyFill="1" applyBorder="1" applyAlignment="1">
      <alignment vertical="center"/>
    </xf>
    <xf numFmtId="0" fontId="4" fillId="2" borderId="23" xfId="0" quotePrefix="1" applyFont="1" applyFill="1" applyBorder="1" applyAlignment="1">
      <alignment vertical="center" wrapText="1"/>
    </xf>
    <xf numFmtId="0" fontId="4" fillId="8" borderId="0" xfId="0" quotePrefix="1" applyFont="1" applyFill="1" applyBorder="1" applyAlignment="1">
      <alignment vertical="center" wrapText="1"/>
    </xf>
    <xf numFmtId="0" fontId="0" fillId="0" borderId="0" xfId="0" applyBorder="1"/>
    <xf numFmtId="0" fontId="3" fillId="0" borderId="0" xfId="0" applyFont="1" applyProtection="1"/>
    <xf numFmtId="0" fontId="12" fillId="2" borderId="0" xfId="0" applyFont="1" applyFill="1" applyProtection="1"/>
    <xf numFmtId="0" fontId="4" fillId="2" borderId="0" xfId="0" applyFont="1" applyFill="1" applyProtection="1"/>
    <xf numFmtId="0" fontId="3" fillId="2" borderId="0" xfId="0" applyFont="1" applyFill="1" applyProtection="1"/>
    <xf numFmtId="0" fontId="12" fillId="2" borderId="0" xfId="0" applyFont="1" applyFill="1" applyBorder="1" applyAlignment="1" applyProtection="1"/>
    <xf numFmtId="0" fontId="15"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15" fillId="2" borderId="0"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protection locked="0"/>
    </xf>
    <xf numFmtId="0" fontId="4" fillId="2" borderId="0" xfId="0" applyFont="1" applyFill="1" applyBorder="1" applyProtection="1"/>
    <xf numFmtId="0" fontId="4" fillId="2" borderId="0"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horizontal="center"/>
      <protection locked="0"/>
    </xf>
    <xf numFmtId="0" fontId="4" fillId="2" borderId="0" xfId="0" applyFont="1" applyFill="1" applyBorder="1" applyProtection="1">
      <protection locked="0"/>
    </xf>
    <xf numFmtId="0" fontId="1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0" fillId="2" borderId="0" xfId="0" applyFont="1" applyFill="1" applyBorder="1" applyAlignment="1" applyProtection="1">
      <alignment horizontal="center"/>
    </xf>
    <xf numFmtId="0" fontId="4" fillId="2" borderId="0" xfId="0" applyFont="1" applyFill="1" applyAlignment="1" applyProtection="1">
      <alignment horizontal="center"/>
    </xf>
    <xf numFmtId="0" fontId="4" fillId="2" borderId="0" xfId="0" applyFont="1" applyFill="1" applyProtection="1">
      <protection locked="0"/>
    </xf>
    <xf numFmtId="0" fontId="12" fillId="2" borderId="0" xfId="0" applyFont="1" applyFill="1" applyBorder="1" applyProtection="1"/>
    <xf numFmtId="0" fontId="3" fillId="0" borderId="0" xfId="0" applyFont="1" applyProtection="1">
      <protection locked="0"/>
    </xf>
    <xf numFmtId="0" fontId="3" fillId="7" borderId="12" xfId="0" applyFont="1" applyFill="1" applyBorder="1"/>
    <xf numFmtId="0" fontId="3" fillId="7" borderId="13" xfId="0" applyFont="1" applyFill="1" applyBorder="1"/>
    <xf numFmtId="0" fontId="23" fillId="0" borderId="1" xfId="0" applyFont="1" applyFill="1" applyBorder="1" applyAlignment="1" applyProtection="1">
      <alignment vertical="center" wrapText="1"/>
    </xf>
    <xf numFmtId="0" fontId="2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7" borderId="12" xfId="0" applyFont="1" applyFill="1" applyBorder="1" applyAlignment="1" applyProtection="1">
      <alignment horizontal="center" vertical="center"/>
    </xf>
    <xf numFmtId="0" fontId="23" fillId="7" borderId="13" xfId="0" applyFont="1" applyFill="1" applyBorder="1" applyAlignment="1">
      <alignment vertical="center" wrapText="1"/>
    </xf>
    <xf numFmtId="0" fontId="23" fillId="7" borderId="13" xfId="0" applyFont="1" applyFill="1" applyBorder="1" applyAlignment="1" applyProtection="1">
      <alignment vertical="center" wrapText="1"/>
    </xf>
    <xf numFmtId="0" fontId="23" fillId="7" borderId="13" xfId="0" applyFont="1" applyFill="1" applyBorder="1" applyAlignment="1">
      <alignment horizontal="center" vertical="center" wrapText="1"/>
    </xf>
    <xf numFmtId="9" fontId="23" fillId="7" borderId="13" xfId="0" applyNumberFormat="1" applyFont="1" applyFill="1" applyBorder="1" applyAlignment="1">
      <alignment horizontal="center" vertical="center" wrapText="1"/>
    </xf>
    <xf numFmtId="0" fontId="3" fillId="2" borderId="1" xfId="0" applyFont="1" applyFill="1" applyBorder="1" applyAlignment="1" applyProtection="1">
      <alignment vertical="center"/>
    </xf>
    <xf numFmtId="0" fontId="3" fillId="7" borderId="13" xfId="0" applyFont="1" applyFill="1" applyBorder="1" applyAlignment="1">
      <alignment vertical="center" wrapText="1"/>
    </xf>
    <xf numFmtId="0" fontId="23" fillId="7" borderId="13" xfId="0" applyFont="1" applyFill="1" applyBorder="1" applyAlignment="1">
      <alignment horizontal="center" vertical="center"/>
    </xf>
    <xf numFmtId="0" fontId="12" fillId="0" borderId="1" xfId="0" applyFont="1" applyFill="1" applyBorder="1" applyAlignment="1" applyProtection="1">
      <alignment vertical="center" wrapText="1"/>
    </xf>
    <xf numFmtId="0" fontId="3" fillId="2" borderId="0" xfId="0" applyFont="1" applyFill="1" applyBorder="1" applyAlignment="1" applyProtection="1">
      <alignment horizontal="left" vertical="top" wrapText="1"/>
    </xf>
    <xf numFmtId="0" fontId="3" fillId="2" borderId="0" xfId="0" applyFont="1" applyFill="1" applyAlignment="1" applyProtection="1">
      <alignment horizontal="center"/>
    </xf>
    <xf numFmtId="0" fontId="3" fillId="2" borderId="0" xfId="0" applyFont="1" applyFill="1" applyProtection="1">
      <protection locked="0"/>
    </xf>
    <xf numFmtId="0" fontId="24" fillId="2" borderId="0" xfId="0" applyFont="1" applyFill="1" applyAlignment="1" applyProtection="1">
      <alignment horizontal="center"/>
      <protection locked="0"/>
    </xf>
    <xf numFmtId="10" fontId="3" fillId="2" borderId="0" xfId="0" applyNumberFormat="1" applyFont="1" applyFill="1" applyProtection="1">
      <protection locked="0"/>
    </xf>
    <xf numFmtId="0" fontId="3" fillId="0" borderId="0" xfId="0" applyFont="1" applyAlignment="1" applyProtection="1">
      <alignment horizontal="center"/>
    </xf>
    <xf numFmtId="0" fontId="0" fillId="0" borderId="0" xfId="0" quotePrefix="1"/>
    <xf numFmtId="0" fontId="29" fillId="6" borderId="21" xfId="0" quotePrefix="1" applyFont="1" applyFill="1" applyBorder="1" applyAlignment="1"/>
    <xf numFmtId="0" fontId="11" fillId="4" borderId="27" xfId="0" applyFont="1" applyFill="1" applyBorder="1" applyAlignment="1">
      <alignment horizontal="left"/>
    </xf>
    <xf numFmtId="0" fontId="31" fillId="2" borderId="18" xfId="0" applyFont="1" applyFill="1" applyBorder="1" applyAlignment="1"/>
    <xf numFmtId="0" fontId="31" fillId="2" borderId="18" xfId="0" applyFont="1" applyFill="1" applyBorder="1" applyAlignment="1">
      <alignment horizontal="left"/>
    </xf>
    <xf numFmtId="0" fontId="31" fillId="2" borderId="18" xfId="0" applyFont="1" applyFill="1" applyBorder="1" applyAlignment="1" applyProtection="1">
      <alignment wrapText="1"/>
    </xf>
    <xf numFmtId="0" fontId="33" fillId="7" borderId="21" xfId="0" quotePrefix="1" applyFont="1" applyFill="1" applyBorder="1" applyAlignment="1">
      <alignment horizontal="left" vertical="top"/>
    </xf>
    <xf numFmtId="0" fontId="34" fillId="7" borderId="21" xfId="0" applyFont="1" applyFill="1" applyBorder="1" applyAlignment="1">
      <alignment horizontal="left" vertical="top"/>
    </xf>
    <xf numFmtId="0" fontId="22" fillId="2" borderId="1" xfId="0" applyFont="1" applyFill="1" applyBorder="1" applyAlignment="1" applyProtection="1">
      <alignment horizontal="center" vertical="center" wrapText="1"/>
      <protection locked="0"/>
    </xf>
    <xf numFmtId="0" fontId="3" fillId="2" borderId="1" xfId="0" applyFont="1" applyFill="1" applyBorder="1" applyProtection="1">
      <protection locked="0"/>
    </xf>
    <xf numFmtId="0" fontId="3" fillId="2" borderId="1" xfId="0" applyFont="1" applyFill="1" applyBorder="1" applyProtection="1"/>
    <xf numFmtId="0" fontId="3" fillId="2" borderId="1"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37" fillId="14" borderId="29" xfId="0" applyFont="1" applyFill="1" applyBorder="1" applyAlignment="1">
      <alignment horizontal="center"/>
    </xf>
    <xf numFmtId="0" fontId="27" fillId="2" borderId="2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9" xfId="0" applyFont="1" applyFill="1" applyBorder="1" applyAlignment="1">
      <alignment horizontal="center"/>
    </xf>
    <xf numFmtId="165" fontId="38" fillId="8" borderId="0" xfId="0" applyNumberFormat="1" applyFont="1" applyFill="1" applyAlignment="1">
      <alignment horizontal="left"/>
    </xf>
    <xf numFmtId="0" fontId="23" fillId="14" borderId="13" xfId="0" applyFont="1" applyFill="1" applyBorder="1" applyAlignment="1" applyProtection="1">
      <alignment vertical="center" wrapText="1"/>
    </xf>
    <xf numFmtId="0" fontId="3" fillId="14" borderId="13" xfId="0" applyFont="1" applyFill="1" applyBorder="1" applyAlignment="1" applyProtection="1">
      <alignment vertical="center"/>
    </xf>
    <xf numFmtId="0" fontId="23" fillId="14" borderId="13" xfId="0" applyFont="1" applyFill="1" applyBorder="1" applyAlignment="1">
      <alignment horizontal="center" vertical="center" wrapText="1"/>
    </xf>
    <xf numFmtId="9" fontId="23" fillId="14" borderId="13" xfId="0" applyNumberFormat="1" applyFont="1" applyFill="1" applyBorder="1" applyAlignment="1">
      <alignment horizontal="center" vertical="center" wrapText="1"/>
    </xf>
    <xf numFmtId="0" fontId="23" fillId="14" borderId="13" xfId="0" applyFont="1" applyFill="1" applyBorder="1" applyAlignment="1">
      <alignment horizontal="center" vertical="center"/>
    </xf>
    <xf numFmtId="0" fontId="3" fillId="2" borderId="0" xfId="0" applyFont="1" applyFill="1" applyBorder="1" applyProtection="1">
      <protection locked="0"/>
    </xf>
    <xf numFmtId="0" fontId="3" fillId="2" borderId="0" xfId="0" applyFont="1" applyFill="1" applyBorder="1" applyAlignment="1" applyProtection="1">
      <alignment vertical="center"/>
    </xf>
    <xf numFmtId="0" fontId="3" fillId="2" borderId="0" xfId="0" applyFont="1" applyFill="1" applyBorder="1" applyProtection="1"/>
    <xf numFmtId="0" fontId="12" fillId="2" borderId="0" xfId="0" applyFont="1" applyFill="1" applyBorder="1" applyAlignment="1" applyProtection="1">
      <alignment vertical="center"/>
    </xf>
    <xf numFmtId="0" fontId="3" fillId="0" borderId="1" xfId="0" applyFont="1" applyFill="1" applyBorder="1" applyAlignment="1">
      <alignment vertical="center" wrapText="1"/>
    </xf>
    <xf numFmtId="0" fontId="23" fillId="0" borderId="1" xfId="0" applyFont="1" applyFill="1" applyBorder="1" applyAlignment="1">
      <alignment vertical="center" wrapText="1"/>
    </xf>
    <xf numFmtId="0" fontId="30" fillId="4" borderId="18" xfId="0" applyFont="1" applyFill="1" applyBorder="1" applyAlignment="1">
      <alignment vertical="center" wrapText="1"/>
    </xf>
    <xf numFmtId="0" fontId="20" fillId="6" borderId="26" xfId="0" applyFont="1" applyFill="1" applyBorder="1" applyAlignment="1" applyProtection="1">
      <alignment horizontal="center" vertical="center" wrapText="1"/>
    </xf>
    <xf numFmtId="0" fontId="20" fillId="6" borderId="32" xfId="0" applyFont="1" applyFill="1" applyBorder="1" applyAlignment="1">
      <alignment vertical="center" wrapText="1"/>
    </xf>
    <xf numFmtId="0" fontId="20" fillId="6" borderId="26" xfId="0" applyFont="1" applyFill="1" applyBorder="1" applyAlignment="1">
      <alignment horizontal="left" vertical="center"/>
    </xf>
    <xf numFmtId="0" fontId="20" fillId="5" borderId="26"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6" borderId="33" xfId="0" applyFont="1" applyFill="1" applyBorder="1" applyAlignment="1">
      <alignment horizontal="center" vertical="center" wrapText="1"/>
    </xf>
    <xf numFmtId="164" fontId="3" fillId="7" borderId="1" xfId="1" applyNumberFormat="1" applyFont="1" applyFill="1" applyBorder="1" applyAlignment="1" applyProtection="1">
      <alignment horizontal="center" vertical="center"/>
      <protection locked="0"/>
    </xf>
    <xf numFmtId="9" fontId="23" fillId="7" borderId="1" xfId="0" applyNumberFormat="1" applyFont="1" applyFill="1" applyBorder="1" applyAlignment="1">
      <alignment horizontal="center" vertical="center" wrapText="1"/>
    </xf>
    <xf numFmtId="164" fontId="3" fillId="7" borderId="1" xfId="1" applyNumberFormat="1" applyFont="1" applyFill="1" applyBorder="1" applyAlignment="1" applyProtection="1">
      <alignment horizontal="center" vertical="center"/>
    </xf>
    <xf numFmtId="2" fontId="23" fillId="7" borderId="34" xfId="0" applyNumberFormat="1" applyFont="1" applyFill="1" applyBorder="1" applyAlignment="1">
      <alignment horizontal="center" vertical="center" wrapText="1"/>
    </xf>
    <xf numFmtId="0" fontId="3" fillId="2" borderId="1" xfId="0" applyFont="1" applyFill="1" applyBorder="1" applyAlignment="1" applyProtection="1">
      <alignment horizontal="center"/>
    </xf>
    <xf numFmtId="2" fontId="3" fillId="2" borderId="1" xfId="0" applyNumberFormat="1" applyFont="1" applyFill="1" applyBorder="1" applyAlignment="1" applyProtection="1">
      <alignment horizontal="center"/>
    </xf>
    <xf numFmtId="0" fontId="4" fillId="2" borderId="14" xfId="0" applyFont="1" applyFill="1" applyBorder="1" applyAlignment="1" applyProtection="1">
      <alignment vertical="center" wrapText="1"/>
    </xf>
    <xf numFmtId="0" fontId="12" fillId="13" borderId="1" xfId="0" applyFont="1" applyFill="1" applyBorder="1" applyAlignment="1" applyProtection="1">
      <alignment horizontal="center" wrapText="1"/>
    </xf>
    <xf numFmtId="0" fontId="12" fillId="13" borderId="1" xfId="0" applyFont="1" applyFill="1" applyBorder="1" applyAlignment="1" applyProtection="1">
      <alignment horizontal="center" vertical="center" wrapText="1"/>
      <protection locked="0"/>
    </xf>
    <xf numFmtId="0" fontId="14" fillId="0" borderId="0" xfId="0" applyFont="1" applyFill="1" applyAlignment="1" applyProtection="1">
      <alignment vertical="center"/>
    </xf>
    <xf numFmtId="0" fontId="14" fillId="0" borderId="0" xfId="0" applyFont="1" applyFill="1" applyAlignment="1" applyProtection="1">
      <alignment vertical="center"/>
      <protection locked="0"/>
    </xf>
    <xf numFmtId="0" fontId="12" fillId="0" borderId="0" xfId="0" applyFont="1" applyFill="1" applyProtection="1"/>
    <xf numFmtId="0" fontId="3" fillId="14" borderId="1" xfId="0" applyFont="1" applyFill="1" applyBorder="1" applyAlignment="1" applyProtection="1">
      <alignment vertical="center"/>
    </xf>
    <xf numFmtId="0" fontId="3" fillId="14" borderId="1" xfId="0" applyFont="1" applyFill="1" applyBorder="1" applyAlignment="1" applyProtection="1">
      <alignment horizontal="left" vertical="center" wrapText="1"/>
    </xf>
    <xf numFmtId="0" fontId="19" fillId="2" borderId="0" xfId="0" applyFont="1" applyFill="1" applyBorder="1" applyAlignment="1" applyProtection="1">
      <alignment horizontal="right" vertical="center" wrapText="1"/>
    </xf>
    <xf numFmtId="0" fontId="32" fillId="2" borderId="0" xfId="0" applyFont="1" applyFill="1" applyBorder="1" applyAlignment="1" applyProtection="1">
      <alignment horizontal="right" wrapText="1"/>
    </xf>
    <xf numFmtId="0" fontId="0" fillId="0" borderId="0" xfId="0" applyAlignment="1">
      <alignment horizontal="center"/>
    </xf>
    <xf numFmtId="0" fontId="9" fillId="2" borderId="21" xfId="0" applyFont="1" applyFill="1" applyBorder="1" applyAlignment="1">
      <alignment horizontal="center" vertical="center"/>
    </xf>
    <xf numFmtId="0" fontId="30" fillId="2" borderId="18" xfId="0" applyFont="1" applyFill="1" applyBorder="1" applyAlignment="1">
      <alignment vertical="center" wrapText="1"/>
    </xf>
    <xf numFmtId="0" fontId="9" fillId="4" borderId="51" xfId="0" applyFont="1" applyFill="1" applyBorder="1" applyAlignment="1">
      <alignment horizontal="center" vertical="center"/>
    </xf>
    <xf numFmtId="0" fontId="23" fillId="7" borderId="1" xfId="0" applyFont="1" applyFill="1" applyBorder="1" applyAlignment="1">
      <alignment horizontal="left" wrapText="1"/>
    </xf>
    <xf numFmtId="9" fontId="23" fillId="7" borderId="1" xfId="1" applyNumberFormat="1" applyFont="1" applyFill="1" applyBorder="1" applyAlignment="1" applyProtection="1">
      <alignment horizontal="center" vertical="center" wrapText="1"/>
    </xf>
    <xf numFmtId="0" fontId="4" fillId="2" borderId="18" xfId="0" quotePrefix="1" applyFont="1" applyFill="1" applyBorder="1" applyAlignment="1">
      <alignment vertical="center" wrapText="1"/>
    </xf>
    <xf numFmtId="0" fontId="37" fillId="14" borderId="1" xfId="0" applyFont="1" applyFill="1" applyBorder="1" applyAlignment="1">
      <alignment horizontal="center"/>
    </xf>
    <xf numFmtId="0" fontId="0" fillId="0" borderId="1" xfId="0" applyFont="1" applyFill="1" applyBorder="1" applyAlignment="1">
      <alignment horizontal="right" vertical="center"/>
    </xf>
    <xf numFmtId="0" fontId="0" fillId="0" borderId="2" xfId="0" applyBorder="1"/>
    <xf numFmtId="0" fontId="0" fillId="0" borderId="1" xfId="0" applyFont="1" applyFill="1" applyBorder="1" applyAlignment="1" applyProtection="1">
      <alignment horizontal="left" vertical="center"/>
    </xf>
    <xf numFmtId="9" fontId="0" fillId="0" borderId="1" xfId="0" applyNumberFormat="1" applyFont="1" applyFill="1" applyBorder="1"/>
    <xf numFmtId="0" fontId="0" fillId="0" borderId="1" xfId="0" applyFont="1" applyFill="1" applyBorder="1"/>
    <xf numFmtId="2" fontId="0" fillId="0" borderId="1" xfId="0" applyNumberFormat="1" applyFont="1" applyFill="1" applyBorder="1"/>
    <xf numFmtId="0" fontId="40" fillId="0" borderId="1" xfId="0" applyFont="1" applyFill="1" applyBorder="1" applyAlignment="1" applyProtection="1">
      <alignment vertical="center" wrapText="1"/>
    </xf>
    <xf numFmtId="0" fontId="0" fillId="0" borderId="1" xfId="0" applyFont="1" applyFill="1" applyBorder="1" applyAlignment="1">
      <alignment horizontal="left"/>
    </xf>
    <xf numFmtId="9" fontId="0" fillId="0" borderId="26" xfId="0" applyNumberFormat="1" applyFont="1" applyFill="1" applyBorder="1"/>
    <xf numFmtId="0" fontId="0" fillId="0" borderId="26" xfId="0" applyFont="1" applyFill="1" applyBorder="1"/>
    <xf numFmtId="0" fontId="3" fillId="8" borderId="0" xfId="0" applyFont="1" applyFill="1"/>
    <xf numFmtId="0" fontId="3" fillId="9" borderId="0" xfId="0" applyFont="1" applyFill="1"/>
    <xf numFmtId="0" fontId="3" fillId="0" borderId="0" xfId="0" applyFont="1"/>
    <xf numFmtId="0" fontId="3" fillId="2" borderId="21" xfId="0" applyFont="1" applyFill="1" applyBorder="1" applyAlignment="1"/>
    <xf numFmtId="0" fontId="3" fillId="2" borderId="18" xfId="0" applyFont="1" applyFill="1" applyBorder="1" applyAlignment="1"/>
    <xf numFmtId="0" fontId="10" fillId="4" borderId="21" xfId="0" applyFont="1" applyFill="1" applyBorder="1" applyAlignment="1">
      <alignment horizontal="center"/>
    </xf>
    <xf numFmtId="0" fontId="3" fillId="2" borderId="18" xfId="0" applyFont="1" applyFill="1" applyBorder="1"/>
    <xf numFmtId="0" fontId="3" fillId="8" borderId="0" xfId="0" applyFont="1" applyFill="1" applyBorder="1"/>
    <xf numFmtId="0" fontId="3" fillId="2" borderId="21" xfId="0" quotePrefix="1" applyFont="1" applyFill="1" applyBorder="1" applyAlignment="1">
      <alignment horizontal="left"/>
    </xf>
    <xf numFmtId="0" fontId="3" fillId="2" borderId="0" xfId="0" quotePrefix="1" applyFont="1" applyFill="1" applyBorder="1" applyAlignment="1">
      <alignment horizontal="left"/>
    </xf>
    <xf numFmtId="0" fontId="3" fillId="2" borderId="18" xfId="0" quotePrefix="1" applyFont="1" applyFill="1" applyBorder="1" applyAlignment="1">
      <alignment horizontal="left"/>
    </xf>
    <xf numFmtId="165" fontId="3" fillId="8" borderId="0" xfId="0" applyNumberFormat="1" applyFont="1" applyFill="1" applyAlignment="1">
      <alignment horizontal="left"/>
    </xf>
    <xf numFmtId="0" fontId="41" fillId="2" borderId="0" xfId="0" applyFont="1" applyFill="1"/>
    <xf numFmtId="0" fontId="3" fillId="2" borderId="0" xfId="0" applyFont="1" applyFill="1"/>
    <xf numFmtId="0" fontId="4" fillId="2" borderId="0" xfId="0" applyFont="1" applyFill="1" applyBorder="1" applyAlignment="1">
      <alignment vertical="center" wrapText="1"/>
    </xf>
    <xf numFmtId="0" fontId="12" fillId="13" borderId="0" xfId="0" applyFont="1" applyFill="1" applyAlignment="1" applyProtection="1">
      <alignment horizontal="center" vertical="center" wrapText="1"/>
    </xf>
    <xf numFmtId="0" fontId="12" fillId="13" borderId="0" xfId="0" applyFont="1" applyFill="1" applyAlignment="1" applyProtection="1">
      <alignment vertical="center" wrapText="1"/>
    </xf>
    <xf numFmtId="2" fontId="3" fillId="2" borderId="0" xfId="0" applyNumberFormat="1" applyFont="1" applyFill="1" applyProtection="1"/>
    <xf numFmtId="166" fontId="3" fillId="2" borderId="0" xfId="0" applyNumberFormat="1" applyFont="1" applyFill="1" applyAlignment="1" applyProtection="1">
      <alignment horizontal="center" vertical="center"/>
    </xf>
    <xf numFmtId="0" fontId="3" fillId="2" borderId="0" xfId="0" applyFont="1" applyFill="1" applyAlignment="1">
      <alignment horizontal="center" vertical="center"/>
    </xf>
    <xf numFmtId="2" fontId="3" fillId="2" borderId="0" xfId="0" applyNumberFormat="1" applyFont="1" applyFill="1"/>
    <xf numFmtId="0" fontId="3" fillId="0" borderId="0" xfId="0" applyFont="1" applyAlignment="1">
      <alignment horizontal="center" vertical="center"/>
    </xf>
    <xf numFmtId="0" fontId="3" fillId="7" borderId="5" xfId="0" applyFont="1" applyFill="1" applyBorder="1"/>
    <xf numFmtId="0" fontId="27" fillId="7" borderId="0" xfId="0" applyFont="1" applyFill="1" applyBorder="1"/>
    <xf numFmtId="0" fontId="27" fillId="7" borderId="6" xfId="0" applyFont="1" applyFill="1" applyBorder="1"/>
    <xf numFmtId="0" fontId="21" fillId="6" borderId="1" xfId="0" applyFont="1" applyFill="1" applyBorder="1" applyAlignment="1">
      <alignment horizontal="center" vertical="center" wrapText="1"/>
    </xf>
    <xf numFmtId="0" fontId="27" fillId="7" borderId="1" xfId="0" applyFont="1" applyFill="1" applyBorder="1" applyAlignment="1">
      <alignment horizontal="center" vertical="center"/>
    </xf>
    <xf numFmtId="9" fontId="27" fillId="7" borderId="1" xfId="0" applyNumberFormat="1" applyFont="1" applyFill="1" applyBorder="1" applyAlignment="1">
      <alignment horizontal="right" vertical="center"/>
    </xf>
    <xf numFmtId="2" fontId="27" fillId="7" borderId="1" xfId="0" applyNumberFormat="1" applyFont="1" applyFill="1" applyBorder="1" applyAlignment="1">
      <alignment horizontal="center" vertical="center"/>
    </xf>
    <xf numFmtId="0" fontId="42" fillId="2" borderId="0" xfId="0" applyFont="1" applyFill="1" applyAlignment="1">
      <alignment vertical="center" wrapText="1"/>
    </xf>
    <xf numFmtId="0" fontId="3" fillId="2" borderId="0" xfId="0" applyFont="1" applyFill="1" applyAlignment="1"/>
    <xf numFmtId="0" fontId="12" fillId="2" borderId="0" xfId="0" applyFont="1" applyFill="1" applyBorder="1"/>
    <xf numFmtId="0" fontId="12" fillId="2" borderId="0" xfId="0" applyFont="1" applyFill="1" applyBorder="1" applyAlignment="1"/>
    <xf numFmtId="0" fontId="30" fillId="7" borderId="5" xfId="0" applyFont="1" applyFill="1" applyBorder="1"/>
    <xf numFmtId="0" fontId="27" fillId="10" borderId="1" xfId="0" applyFont="1" applyFill="1" applyBorder="1" applyAlignment="1">
      <alignment horizontal="center" vertical="center"/>
    </xf>
    <xf numFmtId="2" fontId="27" fillId="10" borderId="1" xfId="0" applyNumberFormat="1" applyFont="1" applyFill="1" applyBorder="1" applyAlignment="1">
      <alignment horizontal="center" vertical="center"/>
    </xf>
    <xf numFmtId="0" fontId="30" fillId="7" borderId="0" xfId="0" applyFont="1" applyFill="1" applyBorder="1"/>
    <xf numFmtId="0" fontId="47" fillId="7" borderId="0" xfId="0" applyFont="1" applyFill="1" applyBorder="1" applyAlignment="1"/>
    <xf numFmtId="0" fontId="48" fillId="7" borderId="0" xfId="0" applyFont="1" applyFill="1" applyBorder="1" applyAlignment="1"/>
    <xf numFmtId="0" fontId="47" fillId="7" borderId="0" xfId="0" applyFont="1" applyFill="1" applyBorder="1" applyAlignment="1">
      <alignment wrapText="1"/>
    </xf>
    <xf numFmtId="0" fontId="49" fillId="7" borderId="0" xfId="0" applyFont="1" applyFill="1" applyBorder="1" applyAlignment="1"/>
    <xf numFmtId="0" fontId="48" fillId="7" borderId="15" xfId="0" applyFont="1" applyFill="1" applyBorder="1" applyAlignment="1"/>
    <xf numFmtId="0" fontId="47" fillId="7" borderId="15" xfId="0" applyFont="1" applyFill="1" applyBorder="1" applyAlignment="1">
      <alignment wrapText="1"/>
    </xf>
    <xf numFmtId="0" fontId="49" fillId="7" borderId="15" xfId="0" applyFont="1" applyFill="1" applyBorder="1" applyAlignment="1"/>
    <xf numFmtId="0" fontId="3" fillId="7" borderId="0" xfId="0" applyFont="1" applyFill="1" applyBorder="1"/>
    <xf numFmtId="0" fontId="27" fillId="2" borderId="0" xfId="0" applyFont="1" applyFill="1" applyBorder="1"/>
    <xf numFmtId="0" fontId="42" fillId="7" borderId="0" xfId="0" applyFont="1" applyFill="1" applyBorder="1" applyAlignment="1">
      <alignment vertical="center"/>
    </xf>
    <xf numFmtId="9" fontId="50" fillId="7" borderId="0" xfId="0" applyNumberFormat="1" applyFont="1" applyFill="1" applyBorder="1" applyAlignment="1">
      <alignment vertical="center"/>
    </xf>
    <xf numFmtId="164" fontId="51" fillId="7" borderId="0" xfId="0" applyNumberFormat="1" applyFont="1" applyFill="1" applyBorder="1" applyAlignment="1">
      <alignment vertical="center"/>
    </xf>
    <xf numFmtId="0" fontId="3" fillId="7" borderId="6" xfId="0" applyFont="1" applyFill="1" applyBorder="1"/>
    <xf numFmtId="164" fontId="53" fillId="7" borderId="0" xfId="0" applyNumberFormat="1" applyFont="1" applyFill="1" applyBorder="1" applyAlignment="1">
      <alignment vertical="center"/>
    </xf>
    <xf numFmtId="0" fontId="20" fillId="7" borderId="0" xfId="0" applyFont="1" applyFill="1" applyBorder="1" applyAlignment="1">
      <alignment horizontal="center" vertical="center" wrapText="1"/>
    </xf>
    <xf numFmtId="0" fontId="52" fillId="7" borderId="0" xfId="0" applyFont="1" applyFill="1" applyBorder="1" applyAlignment="1">
      <alignment horizontal="center" vertical="center"/>
    </xf>
    <xf numFmtId="164" fontId="51" fillId="7" borderId="0" xfId="0" applyNumberFormat="1" applyFont="1" applyFill="1" applyBorder="1" applyAlignment="1">
      <alignment horizontal="center" vertical="center"/>
    </xf>
    <xf numFmtId="0" fontId="3" fillId="7" borderId="16" xfId="0" applyFont="1" applyFill="1" applyBorder="1"/>
    <xf numFmtId="0" fontId="54" fillId="7" borderId="15" xfId="0" applyFont="1" applyFill="1" applyBorder="1" applyAlignment="1">
      <alignment horizontal="center" vertical="center" wrapText="1"/>
    </xf>
    <xf numFmtId="0" fontId="3" fillId="7" borderId="17" xfId="0" applyFont="1" applyFill="1" applyBorder="1"/>
    <xf numFmtId="0" fontId="3" fillId="8" borderId="0" xfId="0" quotePrefix="1" applyFont="1" applyFill="1"/>
    <xf numFmtId="0" fontId="32" fillId="2" borderId="0" xfId="0" applyFont="1" applyFill="1" applyBorder="1" applyAlignment="1" applyProtection="1">
      <alignment horizontal="center"/>
    </xf>
    <xf numFmtId="0" fontId="57" fillId="8" borderId="0" xfId="0" applyFont="1" applyFill="1"/>
    <xf numFmtId="0" fontId="0" fillId="0" borderId="13" xfId="0" applyFill="1" applyBorder="1"/>
    <xf numFmtId="0" fontId="0" fillId="0" borderId="7" xfId="0" applyFill="1" applyBorder="1"/>
    <xf numFmtId="0" fontId="0" fillId="0" borderId="0" xfId="0" applyFill="1" applyBorder="1" applyAlignment="1">
      <alignment wrapText="1"/>
    </xf>
    <xf numFmtId="0" fontId="3" fillId="2" borderId="0" xfId="0" applyFont="1" applyFill="1" applyBorder="1" applyAlignment="1">
      <alignment vertical="center" wrapText="1"/>
    </xf>
    <xf numFmtId="9" fontId="23" fillId="0" borderId="12" xfId="0" applyNumberFormat="1" applyFont="1" applyFill="1" applyBorder="1" applyAlignment="1">
      <alignment horizontal="center" vertical="center" wrapText="1"/>
    </xf>
    <xf numFmtId="0" fontId="5" fillId="8" borderId="0" xfId="0" applyFont="1" applyFill="1" applyBorder="1" applyAlignment="1">
      <alignment vertical="center" wrapText="1"/>
    </xf>
    <xf numFmtId="0" fontId="26" fillId="12" borderId="1" xfId="0" quotePrefix="1" applyFont="1" applyFill="1" applyBorder="1" applyAlignment="1"/>
    <xf numFmtId="0" fontId="25" fillId="12" borderId="1" xfId="0" applyFont="1" applyFill="1" applyBorder="1" applyAlignment="1">
      <alignment wrapText="1"/>
    </xf>
    <xf numFmtId="0" fontId="7" fillId="2" borderId="0" xfId="0" applyFont="1" applyFill="1" applyBorder="1" applyAlignment="1" applyProtection="1">
      <alignment vertical="top" wrapText="1"/>
    </xf>
    <xf numFmtId="0" fontId="40" fillId="4" borderId="1" xfId="0" quotePrefix="1" applyFont="1" applyFill="1" applyBorder="1" applyAlignment="1">
      <alignment vertical="center"/>
    </xf>
    <xf numFmtId="9" fontId="0" fillId="4" borderId="1" xfId="0" applyNumberFormat="1" applyFont="1" applyFill="1" applyBorder="1"/>
    <xf numFmtId="0" fontId="0" fillId="4" borderId="1" xfId="0" applyFont="1" applyFill="1" applyBorder="1"/>
    <xf numFmtId="0" fontId="40" fillId="4" borderId="26" xfId="0" quotePrefix="1" applyFont="1" applyFill="1" applyBorder="1" applyAlignment="1">
      <alignment vertical="center"/>
    </xf>
    <xf numFmtId="9" fontId="0" fillId="4" borderId="26" xfId="0" applyNumberFormat="1" applyFont="1" applyFill="1" applyBorder="1"/>
    <xf numFmtId="0" fontId="0" fillId="4" borderId="26" xfId="0" applyFont="1" applyFill="1" applyBorder="1"/>
    <xf numFmtId="2" fontId="0" fillId="4" borderId="1" xfId="0" applyNumberFormat="1" applyFont="1" applyFill="1" applyBorder="1"/>
    <xf numFmtId="0" fontId="40" fillId="4" borderId="1" xfId="0" quotePrefix="1" applyFont="1" applyFill="1" applyBorder="1" applyAlignment="1">
      <alignment vertical="center" wrapText="1"/>
    </xf>
    <xf numFmtId="0" fontId="40" fillId="4" borderId="1" xfId="0" applyFont="1" applyFill="1" applyBorder="1" applyAlignment="1">
      <alignment vertical="center"/>
    </xf>
    <xf numFmtId="0" fontId="0" fillId="4" borderId="29" xfId="0" applyFont="1" applyFill="1" applyBorder="1" applyAlignment="1">
      <alignment vertical="center"/>
    </xf>
    <xf numFmtId="0" fontId="0" fillId="0" borderId="1" xfId="0" applyBorder="1"/>
    <xf numFmtId="0" fontId="26" fillId="12" borderId="2" xfId="0" quotePrefix="1" applyFont="1" applyFill="1" applyBorder="1" applyAlignment="1"/>
    <xf numFmtId="0" fontId="25" fillId="12" borderId="2" xfId="0" applyFont="1" applyFill="1" applyBorder="1" applyAlignment="1">
      <alignment wrapText="1"/>
    </xf>
    <xf numFmtId="0" fontId="0" fillId="4" borderId="32" xfId="0" applyFont="1" applyFill="1" applyBorder="1" applyAlignment="1">
      <alignment vertical="center"/>
    </xf>
    <xf numFmtId="2" fontId="0" fillId="4" borderId="33" xfId="0" applyNumberFormat="1" applyFont="1" applyFill="1" applyBorder="1"/>
    <xf numFmtId="2" fontId="0" fillId="4" borderId="34" xfId="0" applyNumberFormat="1" applyFont="1" applyFill="1" applyBorder="1"/>
    <xf numFmtId="0" fontId="0" fillId="4" borderId="30" xfId="0" applyFill="1" applyBorder="1"/>
    <xf numFmtId="0" fontId="0" fillId="4" borderId="31" xfId="0" applyFill="1" applyBorder="1"/>
    <xf numFmtId="0" fontId="40" fillId="4" borderId="31" xfId="0" quotePrefix="1" applyFont="1" applyFill="1" applyBorder="1" applyAlignment="1">
      <alignment vertical="center"/>
    </xf>
    <xf numFmtId="0" fontId="0" fillId="4" borderId="31" xfId="0" applyFont="1" applyFill="1" applyBorder="1"/>
    <xf numFmtId="2" fontId="0" fillId="4" borderId="35" xfId="0" applyNumberFormat="1" applyFont="1" applyFill="1" applyBorder="1"/>
    <xf numFmtId="0" fontId="40" fillId="4" borderId="26" xfId="0" applyFont="1" applyFill="1" applyBorder="1" applyAlignment="1">
      <alignment vertical="center"/>
    </xf>
    <xf numFmtId="0" fontId="59" fillId="0" borderId="40" xfId="0" applyFont="1" applyFill="1" applyBorder="1" applyAlignment="1">
      <alignment vertical="center"/>
    </xf>
    <xf numFmtId="0" fontId="59" fillId="0" borderId="0" xfId="0" applyFont="1" applyFill="1" applyBorder="1" applyAlignment="1">
      <alignment vertical="center"/>
    </xf>
    <xf numFmtId="0" fontId="0" fillId="0" borderId="11" xfId="0" applyFont="1" applyFill="1" applyBorder="1"/>
    <xf numFmtId="0" fontId="0" fillId="0" borderId="32" xfId="0" applyFont="1" applyFill="1" applyBorder="1" applyAlignment="1" applyProtection="1">
      <alignment horizontal="left" vertical="center"/>
    </xf>
    <xf numFmtId="0" fontId="40" fillId="0" borderId="26" xfId="0" applyFont="1" applyFill="1" applyBorder="1" applyAlignment="1" applyProtection="1">
      <alignment vertical="center" wrapText="1"/>
    </xf>
    <xf numFmtId="0" fontId="0" fillId="0" borderId="26" xfId="0" applyFont="1" applyFill="1" applyBorder="1" applyAlignment="1">
      <alignment horizontal="right" vertical="center"/>
    </xf>
    <xf numFmtId="2" fontId="0" fillId="0" borderId="33" xfId="0" applyNumberFormat="1" applyFont="1" applyFill="1" applyBorder="1"/>
    <xf numFmtId="0" fontId="0" fillId="0" borderId="29" xfId="0" applyFont="1" applyFill="1" applyBorder="1" applyAlignment="1" applyProtection="1">
      <alignment horizontal="left" vertical="center"/>
    </xf>
    <xf numFmtId="2" fontId="0" fillId="0" borderId="34" xfId="0" applyNumberFormat="1" applyFont="1" applyFill="1" applyBorder="1"/>
    <xf numFmtId="0" fontId="0" fillId="0" borderId="29" xfId="0" applyFont="1" applyFill="1" applyBorder="1" applyAlignment="1">
      <alignment horizontal="left"/>
    </xf>
    <xf numFmtId="0" fontId="0" fillId="0" borderId="30" xfId="0" applyFont="1" applyFill="1" applyBorder="1" applyAlignment="1">
      <alignment horizontal="left"/>
    </xf>
    <xf numFmtId="0" fontId="0" fillId="0" borderId="31" xfId="0" applyFont="1" applyFill="1" applyBorder="1"/>
    <xf numFmtId="0" fontId="0" fillId="0" borderId="31" xfId="0" applyFont="1" applyFill="1" applyBorder="1" applyAlignment="1">
      <alignment horizontal="right" vertical="center"/>
    </xf>
    <xf numFmtId="2" fontId="0" fillId="0" borderId="35" xfId="0" applyNumberFormat="1" applyFont="1" applyFill="1" applyBorder="1"/>
    <xf numFmtId="0" fontId="0" fillId="0" borderId="31" xfId="0" applyBorder="1"/>
    <xf numFmtId="0" fontId="25" fillId="12" borderId="3" xfId="0" applyFont="1" applyFill="1" applyBorder="1" applyAlignment="1">
      <alignment wrapText="1"/>
    </xf>
    <xf numFmtId="2" fontId="0" fillId="4" borderId="53" xfId="0" applyNumberFormat="1" applyFont="1" applyFill="1" applyBorder="1"/>
    <xf numFmtId="2" fontId="0" fillId="4" borderId="12" xfId="0" applyNumberFormat="1" applyFont="1" applyFill="1" applyBorder="1"/>
    <xf numFmtId="2" fontId="0" fillId="4" borderId="54" xfId="0" applyNumberFormat="1" applyFont="1" applyFill="1" applyBorder="1"/>
    <xf numFmtId="2" fontId="0" fillId="0" borderId="53" xfId="0" applyNumberFormat="1" applyFont="1" applyFill="1" applyBorder="1"/>
    <xf numFmtId="2" fontId="0" fillId="0" borderId="12" xfId="0" applyNumberFormat="1" applyFont="1" applyFill="1" applyBorder="1"/>
    <xf numFmtId="2" fontId="0" fillId="0" borderId="54" xfId="0" applyNumberFormat="1" applyFont="1" applyFill="1" applyBorder="1"/>
    <xf numFmtId="0" fontId="26" fillId="12" borderId="56" xfId="0" quotePrefix="1" applyFont="1" applyFill="1" applyBorder="1" applyAlignment="1"/>
    <xf numFmtId="0" fontId="0" fillId="4" borderId="57" xfId="0" applyFont="1" applyFill="1" applyBorder="1" applyAlignment="1">
      <alignment vertical="center"/>
    </xf>
    <xf numFmtId="0" fontId="0" fillId="4" borderId="58" xfId="0" applyFont="1" applyFill="1" applyBorder="1" applyAlignment="1">
      <alignment vertical="center"/>
    </xf>
    <xf numFmtId="0" fontId="0" fillId="4" borderId="55" xfId="0" applyFont="1" applyFill="1" applyBorder="1" applyAlignment="1">
      <alignment vertical="center"/>
    </xf>
    <xf numFmtId="0" fontId="0" fillId="0" borderId="57" xfId="0" applyFont="1" applyFill="1" applyBorder="1" applyAlignment="1" applyProtection="1">
      <alignment horizontal="left" vertical="center"/>
    </xf>
    <xf numFmtId="0" fontId="0" fillId="0" borderId="58" xfId="0" applyFont="1" applyFill="1" applyBorder="1" applyAlignment="1" applyProtection="1">
      <alignment horizontal="left" vertical="center"/>
    </xf>
    <xf numFmtId="0" fontId="0" fillId="0" borderId="58" xfId="0" applyFont="1" applyFill="1" applyBorder="1" applyAlignment="1">
      <alignment horizontal="left"/>
    </xf>
    <xf numFmtId="0" fontId="0" fillId="0" borderId="55" xfId="0" applyFont="1" applyFill="1" applyBorder="1" applyAlignment="1">
      <alignment horizontal="left"/>
    </xf>
    <xf numFmtId="0" fontId="0" fillId="0" borderId="26" xfId="0" applyFont="1" applyFill="1" applyBorder="1" applyAlignment="1">
      <alignment horizontal="left" vertical="center"/>
    </xf>
    <xf numFmtId="0" fontId="0" fillId="0" borderId="1" xfId="0" applyFont="1" applyFill="1" applyBorder="1" applyAlignment="1">
      <alignment horizontal="left" vertical="center"/>
    </xf>
    <xf numFmtId="0" fontId="0" fillId="0" borderId="31" xfId="0" applyFont="1" applyFill="1" applyBorder="1" applyAlignment="1">
      <alignment horizontal="left" vertical="center"/>
    </xf>
    <xf numFmtId="0" fontId="3" fillId="14" borderId="14" xfId="0" applyFont="1" applyFill="1" applyBorder="1"/>
    <xf numFmtId="9" fontId="0" fillId="0" borderId="11" xfId="0" applyNumberFormat="1" applyFont="1" applyFill="1" applyBorder="1"/>
    <xf numFmtId="0" fontId="0" fillId="12" borderId="0" xfId="0" applyFill="1"/>
    <xf numFmtId="0" fontId="4" fillId="0" borderId="0" xfId="0" applyFont="1" applyFill="1" applyProtection="1"/>
    <xf numFmtId="9" fontId="0" fillId="0" borderId="31" xfId="0" applyNumberFormat="1" applyFont="1" applyFill="1" applyBorder="1"/>
    <xf numFmtId="0" fontId="3" fillId="14" borderId="1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23" fillId="0" borderId="1" xfId="0" applyFont="1" applyFill="1" applyBorder="1" applyAlignment="1">
      <alignment horizontal="center" vertical="center"/>
    </xf>
    <xf numFmtId="9" fontId="2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2" fontId="4" fillId="7" borderId="1" xfId="0" applyNumberFormat="1" applyFont="1" applyFill="1" applyBorder="1" applyAlignment="1">
      <alignment horizontal="center" vertical="center" wrapText="1"/>
    </xf>
    <xf numFmtId="0" fontId="31" fillId="2" borderId="18" xfId="0" applyFont="1" applyFill="1" applyBorder="1" applyAlignment="1">
      <alignment wrapText="1"/>
    </xf>
    <xf numFmtId="0" fontId="60" fillId="0" borderId="1" xfId="0" applyFont="1" applyFill="1" applyBorder="1" applyAlignment="1" applyProtection="1">
      <alignment vertical="center" wrapText="1"/>
    </xf>
    <xf numFmtId="0" fontId="58" fillId="7" borderId="14" xfId="0" applyFont="1" applyFill="1" applyBorder="1"/>
    <xf numFmtId="0" fontId="61" fillId="6" borderId="1" xfId="0" applyFont="1" applyFill="1" applyBorder="1" applyAlignment="1" applyProtection="1">
      <alignment horizontal="center" vertical="top" wrapText="1"/>
    </xf>
    <xf numFmtId="0" fontId="62" fillId="5" borderId="1" xfId="0" applyFont="1" applyFill="1" applyBorder="1" applyAlignment="1" applyProtection="1">
      <alignment horizontal="center" vertical="top" wrapText="1"/>
    </xf>
    <xf numFmtId="0" fontId="61" fillId="6" borderId="12" xfId="0" applyFont="1" applyFill="1" applyBorder="1" applyAlignment="1" applyProtection="1">
      <alignment horizontal="center" vertical="top" wrapText="1"/>
    </xf>
    <xf numFmtId="0" fontId="3" fillId="2" borderId="1" xfId="0" applyFont="1" applyFill="1" applyBorder="1" applyAlignment="1">
      <alignment horizontal="center" vertical="center"/>
    </xf>
    <xf numFmtId="0" fontId="60" fillId="7" borderId="14" xfId="0" applyFont="1" applyFill="1" applyBorder="1" applyAlignment="1">
      <alignment horizontal="center" vertical="center"/>
    </xf>
    <xf numFmtId="0" fontId="3" fillId="14" borderId="14" xfId="0" applyFont="1" applyFill="1" applyBorder="1" applyAlignment="1">
      <alignment horizontal="center" vertical="center"/>
    </xf>
    <xf numFmtId="0" fontId="60" fillId="4" borderId="14" xfId="0" applyFont="1" applyFill="1" applyBorder="1" applyAlignment="1">
      <alignment horizontal="center" vertical="center"/>
    </xf>
    <xf numFmtId="0" fontId="3" fillId="14" borderId="14" xfId="0" applyFont="1" applyFill="1" applyBorder="1" applyAlignment="1" applyProtection="1">
      <alignment vertical="center"/>
    </xf>
    <xf numFmtId="0" fontId="3" fillId="7" borderId="14" xfId="0" applyFont="1" applyFill="1" applyBorder="1" applyAlignment="1">
      <alignment horizontal="center" vertical="center"/>
    </xf>
    <xf numFmtId="0" fontId="3" fillId="7" borderId="14" xfId="0" applyFont="1" applyFill="1" applyBorder="1"/>
    <xf numFmtId="1" fontId="3" fillId="7" borderId="1" xfId="1" applyNumberFormat="1"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0" fontId="12" fillId="0" borderId="13" xfId="0" applyFont="1" applyFill="1" applyBorder="1" applyAlignment="1" applyProtection="1">
      <alignment vertical="center" wrapText="1"/>
    </xf>
    <xf numFmtId="0" fontId="0" fillId="4" borderId="1" xfId="0" applyFill="1" applyBorder="1"/>
    <xf numFmtId="0" fontId="37" fillId="14" borderId="12" xfId="0" applyFont="1" applyFill="1" applyBorder="1" applyAlignment="1" applyProtection="1">
      <alignment vertical="center"/>
    </xf>
    <xf numFmtId="0" fontId="0" fillId="2" borderId="0" xfId="0" applyFont="1" applyFill="1"/>
    <xf numFmtId="0" fontId="22" fillId="14" borderId="12" xfId="0" applyFont="1" applyFill="1" applyBorder="1" applyAlignment="1">
      <alignment vertical="center" wrapText="1"/>
    </xf>
    <xf numFmtId="0" fontId="22" fillId="14" borderId="13" xfId="0" applyFont="1" applyFill="1" applyBorder="1" applyAlignment="1">
      <alignment vertical="center" wrapText="1"/>
    </xf>
    <xf numFmtId="0" fontId="27" fillId="2" borderId="1" xfId="0" applyFont="1" applyFill="1" applyBorder="1" applyAlignment="1">
      <alignment horizontal="center" vertical="center" wrapText="1"/>
    </xf>
    <xf numFmtId="167" fontId="0" fillId="0" borderId="0" xfId="0" applyNumberFormat="1"/>
    <xf numFmtId="0" fontId="3" fillId="2" borderId="21" xfId="0" quotePrefix="1" applyFont="1" applyFill="1" applyBorder="1" applyAlignment="1">
      <alignment horizontal="left" vertical="top" wrapText="1"/>
    </xf>
    <xf numFmtId="0" fontId="3" fillId="2" borderId="0" xfId="0" quotePrefix="1" applyFont="1" applyFill="1" applyBorder="1" applyAlignment="1">
      <alignment horizontal="left" vertical="top" wrapText="1"/>
    </xf>
    <xf numFmtId="0" fontId="3" fillId="2" borderId="18" xfId="0" quotePrefix="1" applyFont="1" applyFill="1" applyBorder="1" applyAlignment="1">
      <alignment horizontal="left" vertical="top" wrapText="1"/>
    </xf>
    <xf numFmtId="0" fontId="68" fillId="19" borderId="0" xfId="0" applyFont="1" applyFill="1" applyAlignment="1">
      <alignment horizontal="left"/>
    </xf>
    <xf numFmtId="49" fontId="69" fillId="0" borderId="0" xfId="0" applyNumberFormat="1" applyFont="1" applyAlignment="1">
      <alignment horizontal="left"/>
    </xf>
    <xf numFmtId="49" fontId="70" fillId="0" borderId="0" xfId="0" applyNumberFormat="1" applyFont="1" applyAlignment="1">
      <alignment horizontal="left"/>
    </xf>
    <xf numFmtId="49" fontId="71" fillId="0" borderId="0" xfId="0" applyNumberFormat="1" applyFont="1" applyAlignment="1">
      <alignment horizontal="left"/>
    </xf>
    <xf numFmtId="49" fontId="64" fillId="0" borderId="0" xfId="0" applyNumberFormat="1" applyFont="1" applyAlignment="1"/>
    <xf numFmtId="49" fontId="64" fillId="15" borderId="0" xfId="0" applyNumberFormat="1" applyFont="1" applyFill="1" applyAlignment="1"/>
    <xf numFmtId="49" fontId="64" fillId="17" borderId="0" xfId="0" applyNumberFormat="1" applyFont="1" applyFill="1" applyAlignment="1"/>
    <xf numFmtId="49" fontId="64" fillId="16" borderId="0" xfId="0" applyNumberFormat="1" applyFont="1" applyFill="1" applyAlignment="1"/>
    <xf numFmtId="49" fontId="64" fillId="18" borderId="0" xfId="0" applyNumberFormat="1" applyFont="1" applyFill="1" applyAlignment="1"/>
    <xf numFmtId="49" fontId="64" fillId="0" borderId="59" xfId="0" applyNumberFormat="1" applyFont="1" applyBorder="1" applyAlignment="1"/>
    <xf numFmtId="0" fontId="59" fillId="12" borderId="48" xfId="0" applyFont="1" applyFill="1" applyBorder="1" applyAlignment="1">
      <alignment vertical="center" wrapText="1"/>
    </xf>
    <xf numFmtId="0" fontId="59" fillId="12" borderId="52" xfId="0" applyFont="1" applyFill="1" applyBorder="1" applyAlignment="1">
      <alignment vertical="center" wrapText="1"/>
    </xf>
    <xf numFmtId="0" fontId="0" fillId="4" borderId="1" xfId="0" applyFont="1" applyFill="1" applyBorder="1" applyAlignment="1">
      <alignment vertical="center"/>
    </xf>
    <xf numFmtId="0" fontId="59" fillId="12" borderId="40" xfId="0" applyFont="1" applyFill="1" applyBorder="1" applyAlignment="1">
      <alignment vertical="center" wrapText="1"/>
    </xf>
    <xf numFmtId="0" fontId="59" fillId="12" borderId="0" xfId="0" applyFont="1" applyFill="1" applyBorder="1" applyAlignment="1">
      <alignment vertical="center" wrapText="1"/>
    </xf>
    <xf numFmtId="0" fontId="40" fillId="4" borderId="11" xfId="0" quotePrefix="1" applyFont="1" applyFill="1" applyBorder="1" applyAlignment="1">
      <alignment vertical="center"/>
    </xf>
    <xf numFmtId="9" fontId="0" fillId="4" borderId="11" xfId="0" applyNumberFormat="1" applyFont="1" applyFill="1" applyBorder="1"/>
    <xf numFmtId="2" fontId="0" fillId="4" borderId="11" xfId="0" applyNumberFormat="1" applyFont="1" applyFill="1" applyBorder="1"/>
    <xf numFmtId="0" fontId="0" fillId="4" borderId="61" xfId="0" applyFont="1" applyFill="1" applyBorder="1" applyAlignment="1">
      <alignment vertical="center"/>
    </xf>
    <xf numFmtId="0" fontId="65" fillId="0" borderId="0" xfId="3"/>
    <xf numFmtId="0" fontId="0" fillId="20" borderId="1" xfId="0" applyFill="1" applyBorder="1"/>
    <xf numFmtId="0" fontId="0" fillId="21" borderId="1" xfId="0" applyFill="1" applyBorder="1"/>
    <xf numFmtId="0" fontId="0" fillId="22" borderId="1" xfId="0" applyFill="1" applyBorder="1"/>
    <xf numFmtId="0" fontId="0" fillId="23" borderId="1" xfId="0" applyFill="1" applyBorder="1"/>
    <xf numFmtId="0" fontId="0" fillId="24" borderId="1" xfId="0" applyFill="1" applyBorder="1"/>
    <xf numFmtId="0" fontId="0" fillId="10" borderId="1" xfId="0" applyFill="1" applyBorder="1"/>
    <xf numFmtId="0" fontId="0" fillId="7" borderId="1" xfId="0" applyFill="1" applyBorder="1"/>
    <xf numFmtId="0" fontId="66" fillId="25" borderId="1" xfId="3" applyFont="1" applyFill="1" applyBorder="1"/>
    <xf numFmtId="0" fontId="66" fillId="25" borderId="1" xfId="0" applyFont="1" applyFill="1" applyBorder="1"/>
    <xf numFmtId="0" fontId="0" fillId="23" borderId="1" xfId="0" applyFill="1" applyBorder="1" applyAlignment="1">
      <alignment horizontal="center" vertical="center"/>
    </xf>
    <xf numFmtId="0" fontId="66" fillId="9" borderId="0" xfId="0" applyFont="1" applyFill="1"/>
    <xf numFmtId="0" fontId="32" fillId="2" borderId="50" xfId="0" applyFont="1" applyFill="1" applyBorder="1" applyAlignment="1" applyProtection="1">
      <alignment vertical="center" wrapText="1"/>
      <protection locked="0"/>
    </xf>
    <xf numFmtId="0" fontId="32" fillId="0" borderId="50"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xf>
    <xf numFmtId="0" fontId="0" fillId="0" borderId="60" xfId="0" applyFont="1" applyFill="1" applyBorder="1"/>
    <xf numFmtId="0" fontId="0" fillId="23" borderId="29" xfId="0" applyFont="1" applyFill="1" applyBorder="1" applyAlignment="1">
      <alignment vertical="center"/>
    </xf>
    <xf numFmtId="0" fontId="0" fillId="22" borderId="29" xfId="0" applyFont="1" applyFill="1" applyBorder="1" applyAlignment="1">
      <alignment vertical="center"/>
    </xf>
    <xf numFmtId="0" fontId="40" fillId="22" borderId="1" xfId="0" quotePrefix="1" applyFont="1" applyFill="1" applyBorder="1" applyAlignment="1">
      <alignment vertical="center"/>
    </xf>
    <xf numFmtId="9" fontId="0" fillId="22" borderId="1" xfId="0" applyNumberFormat="1" applyFont="1" applyFill="1" applyBorder="1"/>
    <xf numFmtId="0" fontId="0" fillId="22" borderId="1" xfId="0" applyFont="1" applyFill="1" applyBorder="1"/>
    <xf numFmtId="2" fontId="0" fillId="22" borderId="12" xfId="0" applyNumberFormat="1" applyFont="1" applyFill="1" applyBorder="1"/>
    <xf numFmtId="0" fontId="0" fillId="21" borderId="29" xfId="0" applyFont="1" applyFill="1" applyBorder="1" applyAlignment="1">
      <alignment vertical="center"/>
    </xf>
    <xf numFmtId="0" fontId="40" fillId="21" borderId="1" xfId="0" quotePrefix="1" applyFont="1" applyFill="1" applyBorder="1" applyAlignment="1">
      <alignment vertical="center"/>
    </xf>
    <xf numFmtId="9" fontId="0" fillId="21" borderId="1" xfId="0" applyNumberFormat="1" applyFont="1" applyFill="1" applyBorder="1"/>
    <xf numFmtId="0" fontId="0" fillId="21" borderId="1" xfId="0" applyFont="1" applyFill="1" applyBorder="1"/>
    <xf numFmtId="0" fontId="0" fillId="22" borderId="1" xfId="0" applyFont="1" applyFill="1" applyBorder="1" applyAlignment="1">
      <alignment vertical="center"/>
    </xf>
    <xf numFmtId="0" fontId="0" fillId="22" borderId="0" xfId="0" applyFill="1"/>
    <xf numFmtId="2" fontId="0" fillId="22" borderId="1" xfId="0" applyNumberFormat="1" applyFont="1" applyFill="1" applyBorder="1"/>
    <xf numFmtId="2" fontId="0" fillId="22" borderId="26" xfId="0" applyNumberFormat="1" applyFont="1" applyFill="1" applyBorder="1"/>
    <xf numFmtId="0" fontId="4" fillId="2" borderId="0" xfId="0" applyFont="1" applyFill="1"/>
    <xf numFmtId="0" fontId="37" fillId="14" borderId="12" xfId="0" applyFont="1" applyFill="1" applyBorder="1" applyAlignment="1">
      <alignment vertical="center"/>
    </xf>
    <xf numFmtId="0" fontId="3" fillId="14" borderId="13" xfId="0" applyFont="1" applyFill="1" applyBorder="1" applyAlignment="1">
      <alignment vertical="center"/>
    </xf>
    <xf numFmtId="0" fontId="3" fillId="14" borderId="14" xfId="0" applyFont="1" applyFill="1" applyBorder="1" applyAlignment="1">
      <alignment vertical="center"/>
    </xf>
    <xf numFmtId="0" fontId="3" fillId="2" borderId="1" xfId="0" applyFont="1" applyFill="1" applyBorder="1" applyAlignment="1">
      <alignment vertical="center"/>
    </xf>
    <xf numFmtId="2" fontId="3" fillId="2" borderId="1" xfId="0" applyNumberFormat="1" applyFont="1" applyFill="1" applyBorder="1" applyAlignment="1">
      <alignment horizontal="center"/>
    </xf>
    <xf numFmtId="0" fontId="12" fillId="2" borderId="0" xfId="0" applyFont="1" applyFill="1" applyAlignment="1">
      <alignment vertical="center"/>
    </xf>
    <xf numFmtId="0" fontId="12" fillId="2" borderId="0" xfId="0" applyFont="1" applyFill="1"/>
    <xf numFmtId="0" fontId="23" fillId="0" borderId="2" xfId="0" applyFont="1" applyBorder="1" applyAlignment="1">
      <alignment vertical="center" wrapText="1"/>
    </xf>
    <xf numFmtId="0" fontId="23" fillId="0" borderId="1" xfId="0" applyFont="1" applyBorder="1" applyAlignment="1">
      <alignment horizontal="center" vertical="center" wrapText="1"/>
    </xf>
    <xf numFmtId="9" fontId="23" fillId="0" borderId="12" xfId="0" applyNumberFormat="1" applyFont="1" applyBorder="1" applyAlignment="1">
      <alignment horizontal="center" vertical="center" wrapText="1"/>
    </xf>
    <xf numFmtId="0" fontId="23" fillId="0" borderId="1" xfId="0" applyFont="1" applyBorder="1" applyAlignment="1">
      <alignment vertical="center" wrapText="1"/>
    </xf>
    <xf numFmtId="0" fontId="3" fillId="7" borderId="12" xfId="0" applyFont="1" applyFill="1" applyBorder="1" applyAlignment="1">
      <alignment horizontal="center" vertical="center"/>
    </xf>
    <xf numFmtId="0" fontId="3" fillId="14" borderId="1" xfId="0" applyFont="1" applyFill="1" applyBorder="1" applyAlignment="1">
      <alignment vertical="center" wrapText="1"/>
    </xf>
    <xf numFmtId="0" fontId="65" fillId="2" borderId="0" xfId="3" quotePrefix="1" applyFill="1" applyBorder="1"/>
    <xf numFmtId="0" fontId="65" fillId="2" borderId="21" xfId="3" quotePrefix="1" applyFill="1" applyBorder="1"/>
    <xf numFmtId="0" fontId="65" fillId="2" borderId="18" xfId="3" quotePrefix="1" applyFill="1" applyBorder="1"/>
    <xf numFmtId="0" fontId="35" fillId="2" borderId="0" xfId="0" quotePrefix="1" applyFont="1" applyFill="1" applyBorder="1" applyAlignment="1">
      <alignment vertical="top" wrapText="1"/>
    </xf>
    <xf numFmtId="0" fontId="35" fillId="2" borderId="18" xfId="0" quotePrefix="1" applyFont="1" applyFill="1" applyBorder="1" applyAlignment="1">
      <alignment vertical="top" wrapText="1"/>
    </xf>
    <xf numFmtId="0" fontId="5" fillId="2" borderId="21" xfId="0" applyFont="1" applyFill="1" applyBorder="1" applyAlignment="1">
      <alignment horizontal="left" vertical="center"/>
    </xf>
    <xf numFmtId="0" fontId="5" fillId="2" borderId="0" xfId="0" applyFont="1" applyFill="1" applyBorder="1" applyAlignment="1">
      <alignment horizontal="left" vertical="center"/>
    </xf>
    <xf numFmtId="0" fontId="5" fillId="2" borderId="18" xfId="0" applyFont="1" applyFill="1" applyBorder="1" applyAlignment="1">
      <alignment horizontal="left" vertical="center"/>
    </xf>
    <xf numFmtId="0" fontId="5" fillId="2" borderId="21" xfId="0" applyFont="1" applyFill="1" applyBorder="1" applyAlignment="1">
      <alignment vertical="center"/>
    </xf>
    <xf numFmtId="0" fontId="5" fillId="2" borderId="0" xfId="0" applyFont="1" applyFill="1" applyBorder="1" applyAlignment="1">
      <alignment vertical="center"/>
    </xf>
    <xf numFmtId="0" fontId="5" fillId="2" borderId="18" xfId="0" applyFont="1" applyFill="1" applyBorder="1" applyAlignment="1">
      <alignmen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4" fillId="2" borderId="25" xfId="0" quotePrefix="1" applyFont="1" applyFill="1" applyBorder="1" applyAlignment="1">
      <alignment vertical="center" wrapText="1"/>
    </xf>
    <xf numFmtId="49" fontId="64" fillId="0" borderId="0" xfId="0" applyNumberFormat="1" applyFont="1" applyBorder="1" applyAlignment="1"/>
    <xf numFmtId="0" fontId="27" fillId="2" borderId="31" xfId="0" applyFont="1" applyFill="1" applyBorder="1" applyAlignment="1">
      <alignment horizontal="center" vertical="center" wrapText="1"/>
    </xf>
    <xf numFmtId="0" fontId="27" fillId="2" borderId="30" xfId="0" applyFont="1" applyFill="1" applyBorder="1" applyAlignment="1">
      <alignment horizontal="center" vertical="center"/>
    </xf>
    <xf numFmtId="9" fontId="40" fillId="4" borderId="1" xfId="0" applyNumberFormat="1" applyFont="1" applyFill="1" applyBorder="1"/>
    <xf numFmtId="9" fontId="40" fillId="4" borderId="1" xfId="0" applyNumberFormat="1" applyFont="1" applyFill="1" applyBorder="1" applyAlignment="1">
      <alignment horizontal="right"/>
    </xf>
    <xf numFmtId="0" fontId="40" fillId="4" borderId="31" xfId="0" applyFont="1" applyFill="1" applyBorder="1"/>
    <xf numFmtId="9" fontId="40" fillId="4" borderId="26" xfId="0" applyNumberFormat="1" applyFont="1" applyFill="1" applyBorder="1" applyAlignment="1">
      <alignment horizontal="right"/>
    </xf>
    <xf numFmtId="9" fontId="40" fillId="4" borderId="31" xfId="0" applyNumberFormat="1" applyFont="1" applyFill="1" applyBorder="1" applyAlignment="1">
      <alignment horizontal="right"/>
    </xf>
    <xf numFmtId="9" fontId="40" fillId="4" borderId="26" xfId="0" applyNumberFormat="1" applyFont="1" applyFill="1" applyBorder="1"/>
    <xf numFmtId="9" fontId="40" fillId="4" borderId="11" xfId="0" applyNumberFormat="1" applyFont="1" applyFill="1" applyBorder="1" applyAlignment="1">
      <alignment horizontal="right"/>
    </xf>
    <xf numFmtId="0" fontId="40" fillId="0" borderId="26" xfId="0" applyFont="1" applyFill="1" applyBorder="1" applyAlignment="1">
      <alignment horizontal="right" vertical="center"/>
    </xf>
    <xf numFmtId="0" fontId="40" fillId="0" borderId="1" xfId="0" applyFont="1" applyFill="1" applyBorder="1" applyAlignment="1">
      <alignment horizontal="right" vertical="center"/>
    </xf>
    <xf numFmtId="0" fontId="40" fillId="0" borderId="31" xfId="0" applyFont="1" applyFill="1" applyBorder="1" applyAlignment="1">
      <alignment horizontal="right" vertical="center"/>
    </xf>
    <xf numFmtId="0" fontId="23" fillId="0" borderId="12" xfId="0" applyNumberFormat="1" applyFont="1" applyBorder="1" applyAlignment="1">
      <alignment horizontal="center" vertical="center" wrapText="1"/>
    </xf>
    <xf numFmtId="0" fontId="23" fillId="0" borderId="12" xfId="0" applyNumberFormat="1" applyFont="1" applyFill="1" applyBorder="1" applyAlignment="1">
      <alignment horizontal="center" vertical="center" wrapText="1"/>
    </xf>
    <xf numFmtId="0" fontId="0" fillId="21" borderId="1" xfId="0" applyFill="1" applyBorder="1" applyAlignment="1">
      <alignment horizontal="center" vertical="center"/>
    </xf>
    <xf numFmtId="49" fontId="67" fillId="0" borderId="0" xfId="0" applyNumberFormat="1" applyFont="1"/>
    <xf numFmtId="49" fontId="75" fillId="0" borderId="0" xfId="0" applyNumberFormat="1" applyFont="1" applyAlignment="1"/>
    <xf numFmtId="9" fontId="0" fillId="26" borderId="1" xfId="0" applyNumberFormat="1" applyFont="1" applyFill="1" applyBorder="1"/>
    <xf numFmtId="0" fontId="23" fillId="7" borderId="2" xfId="0" applyFont="1" applyFill="1" applyBorder="1" applyAlignment="1">
      <alignment horizontal="left" wrapText="1"/>
    </xf>
    <xf numFmtId="164" fontId="3" fillId="7" borderId="2" xfId="1" applyNumberFormat="1" applyFont="1" applyFill="1" applyBorder="1" applyAlignment="1" applyProtection="1">
      <alignment horizontal="center" vertical="center"/>
      <protection locked="0"/>
    </xf>
    <xf numFmtId="1" fontId="3" fillId="7" borderId="2" xfId="1" applyNumberFormat="1" applyFont="1" applyFill="1" applyBorder="1" applyAlignment="1" applyProtection="1">
      <alignment horizontal="center" vertical="center"/>
      <protection locked="0"/>
    </xf>
    <xf numFmtId="2" fontId="4" fillId="7" borderId="2" xfId="0" applyNumberFormat="1" applyFont="1" applyFill="1" applyBorder="1" applyAlignment="1">
      <alignment horizontal="center" vertical="center" wrapText="1"/>
    </xf>
    <xf numFmtId="164" fontId="3" fillId="7" borderId="2" xfId="1" applyNumberFormat="1" applyFont="1" applyFill="1" applyBorder="1" applyAlignment="1" applyProtection="1">
      <alignment horizontal="center" vertical="center"/>
    </xf>
    <xf numFmtId="9" fontId="23" fillId="7" borderId="2" xfId="1" applyNumberFormat="1" applyFont="1" applyFill="1" applyBorder="1" applyAlignment="1" applyProtection="1">
      <alignment horizontal="center" vertical="center" wrapText="1"/>
    </xf>
    <xf numFmtId="0" fontId="23" fillId="7" borderId="11" xfId="0" applyFont="1" applyFill="1" applyBorder="1" applyAlignment="1">
      <alignment horizontal="left" wrapText="1"/>
    </xf>
    <xf numFmtId="164" fontId="3" fillId="7" borderId="11" xfId="1" applyNumberFormat="1" applyFont="1" applyFill="1" applyBorder="1" applyAlignment="1" applyProtection="1">
      <alignment horizontal="center" vertical="center"/>
      <protection locked="0"/>
    </xf>
    <xf numFmtId="1" fontId="3" fillId="7" borderId="11" xfId="1" applyNumberFormat="1" applyFont="1" applyFill="1" applyBorder="1" applyAlignment="1" applyProtection="1">
      <alignment horizontal="center" vertical="center"/>
      <protection locked="0"/>
    </xf>
    <xf numFmtId="2" fontId="4" fillId="7" borderId="11" xfId="0" applyNumberFormat="1" applyFont="1" applyFill="1" applyBorder="1" applyAlignment="1">
      <alignment horizontal="center" vertical="center" wrapText="1"/>
    </xf>
    <xf numFmtId="164" fontId="3" fillId="7" borderId="11" xfId="1" applyNumberFormat="1" applyFont="1" applyFill="1" applyBorder="1" applyAlignment="1" applyProtection="1">
      <alignment horizontal="center" vertical="center"/>
    </xf>
    <xf numFmtId="9" fontId="23" fillId="7" borderId="11" xfId="1" applyNumberFormat="1" applyFont="1" applyFill="1" applyBorder="1" applyAlignment="1" applyProtection="1">
      <alignment horizontal="center" vertical="center" wrapText="1"/>
    </xf>
    <xf numFmtId="0" fontId="0" fillId="0" borderId="63" xfId="0" applyBorder="1"/>
    <xf numFmtId="0" fontId="23" fillId="7" borderId="29" xfId="0" applyFont="1" applyFill="1" applyBorder="1" applyAlignment="1">
      <alignment horizontal="left" wrapText="1"/>
    </xf>
    <xf numFmtId="2" fontId="3" fillId="27" borderId="0" xfId="0" applyNumberFormat="1" applyFont="1" applyFill="1" applyProtection="1"/>
    <xf numFmtId="0" fontId="5" fillId="11" borderId="45" xfId="0" quotePrefix="1" applyFont="1" applyFill="1" applyBorder="1" applyAlignment="1">
      <alignment horizontal="left" vertical="center" wrapText="1"/>
    </xf>
    <xf numFmtId="0" fontId="5" fillId="11" borderId="46" xfId="0" applyFont="1" applyFill="1" applyBorder="1" applyAlignment="1">
      <alignment horizontal="left" vertical="center" wrapText="1"/>
    </xf>
    <xf numFmtId="0" fontId="5" fillId="11" borderId="47" xfId="0" applyFont="1" applyFill="1" applyBorder="1" applyAlignment="1">
      <alignment horizontal="left" vertical="center" wrapText="1"/>
    </xf>
    <xf numFmtId="0" fontId="3" fillId="2" borderId="21" xfId="0" quotePrefix="1" applyFont="1" applyFill="1" applyBorder="1" applyAlignment="1">
      <alignment horizontal="left" vertical="top" wrapText="1"/>
    </xf>
    <xf numFmtId="0" fontId="3" fillId="2" borderId="0" xfId="0" quotePrefix="1" applyFont="1" applyFill="1" applyBorder="1" applyAlignment="1">
      <alignment horizontal="left" vertical="top" wrapText="1"/>
    </xf>
    <xf numFmtId="0" fontId="3" fillId="2" borderId="18" xfId="0" quotePrefix="1" applyFont="1" applyFill="1" applyBorder="1" applyAlignment="1">
      <alignment horizontal="left" vertical="top" wrapText="1"/>
    </xf>
    <xf numFmtId="0" fontId="3" fillId="2" borderId="21" xfId="0" quotePrefix="1" applyFont="1" applyFill="1" applyBorder="1" applyAlignment="1">
      <alignment horizontal="left" indent="3"/>
    </xf>
    <xf numFmtId="0" fontId="3" fillId="2" borderId="0" xfId="0" quotePrefix="1" applyFont="1" applyFill="1" applyBorder="1" applyAlignment="1">
      <alignment horizontal="left" indent="3"/>
    </xf>
    <xf numFmtId="0" fontId="3" fillId="2" borderId="18" xfId="0" quotePrefix="1" applyFont="1" applyFill="1" applyBorder="1" applyAlignment="1">
      <alignment horizontal="left" indent="3"/>
    </xf>
    <xf numFmtId="0" fontId="3" fillId="2" borderId="21" xfId="0" quotePrefix="1" applyFont="1" applyFill="1" applyBorder="1" applyAlignment="1">
      <alignment horizontal="left"/>
    </xf>
    <xf numFmtId="0" fontId="3" fillId="2" borderId="0" xfId="0" quotePrefix="1" applyFont="1" applyFill="1" applyBorder="1" applyAlignment="1">
      <alignment horizontal="left"/>
    </xf>
    <xf numFmtId="0" fontId="3" fillId="2" borderId="18" xfId="0" quotePrefix="1" applyFont="1" applyFill="1" applyBorder="1" applyAlignment="1">
      <alignment horizontal="left"/>
    </xf>
    <xf numFmtId="0" fontId="3" fillId="2" borderId="21" xfId="0" quotePrefix="1" applyFont="1" applyFill="1" applyBorder="1" applyAlignment="1">
      <alignment horizontal="left" wrapText="1"/>
    </xf>
    <xf numFmtId="0" fontId="3" fillId="2" borderId="0" xfId="0" quotePrefix="1" applyFont="1" applyFill="1" applyBorder="1" applyAlignment="1">
      <alignment horizontal="left" wrapText="1"/>
    </xf>
    <xf numFmtId="0" fontId="3" fillId="2" borderId="18" xfId="0" quotePrefix="1" applyFont="1" applyFill="1" applyBorder="1" applyAlignment="1">
      <alignment horizontal="left" wrapText="1"/>
    </xf>
    <xf numFmtId="0" fontId="35" fillId="2" borderId="21" xfId="0" quotePrefix="1" applyFont="1" applyFill="1" applyBorder="1" applyAlignment="1">
      <alignment horizontal="left"/>
    </xf>
    <xf numFmtId="0" fontId="35" fillId="2" borderId="0" xfId="0" quotePrefix="1" applyFont="1" applyFill="1" applyBorder="1" applyAlignment="1">
      <alignment horizontal="left"/>
    </xf>
    <xf numFmtId="0" fontId="35" fillId="2" borderId="18" xfId="0" quotePrefix="1" applyFont="1" applyFill="1" applyBorder="1" applyAlignment="1">
      <alignment horizontal="left"/>
    </xf>
    <xf numFmtId="0" fontId="4" fillId="2" borderId="21" xfId="0" quotePrefix="1" applyFont="1" applyFill="1" applyBorder="1" applyAlignment="1">
      <alignment horizontal="left" vertical="center" wrapText="1"/>
    </xf>
    <xf numFmtId="0" fontId="4" fillId="2" borderId="0" xfId="0" quotePrefix="1" applyFont="1" applyFill="1" applyBorder="1" applyAlignment="1">
      <alignment horizontal="left" vertical="center" wrapText="1"/>
    </xf>
    <xf numFmtId="0" fontId="4" fillId="2" borderId="18" xfId="0" quotePrefix="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5" fillId="4" borderId="24" xfId="0" applyFont="1" applyFill="1" applyBorder="1" applyAlignment="1">
      <alignment horizontal="left"/>
    </xf>
    <xf numFmtId="0" fontId="5" fillId="4" borderId="43" xfId="0" applyFont="1" applyFill="1" applyBorder="1" applyAlignment="1">
      <alignment horizontal="left"/>
    </xf>
    <xf numFmtId="0" fontId="5" fillId="4" borderId="44" xfId="0" applyFont="1" applyFill="1" applyBorder="1" applyAlignment="1">
      <alignment horizontal="left"/>
    </xf>
    <xf numFmtId="0" fontId="5" fillId="11" borderId="45" xfId="0" quotePrefix="1" applyFont="1" applyFill="1" applyBorder="1" applyAlignment="1">
      <alignment horizontal="left" vertical="center"/>
    </xf>
    <xf numFmtId="0" fontId="5" fillId="11" borderId="46" xfId="0" applyFont="1" applyFill="1" applyBorder="1" applyAlignment="1">
      <alignment horizontal="left" vertical="center"/>
    </xf>
    <xf numFmtId="0" fontId="5" fillId="11" borderId="47" xfId="0" applyFont="1" applyFill="1" applyBorder="1" applyAlignment="1">
      <alignment horizontal="left" vertical="center"/>
    </xf>
    <xf numFmtId="0" fontId="14" fillId="6" borderId="21" xfId="0" applyFont="1" applyFill="1" applyBorder="1" applyAlignment="1">
      <alignment horizontal="left"/>
    </xf>
    <xf numFmtId="0" fontId="14" fillId="6" borderId="0" xfId="0" applyFont="1" applyFill="1" applyAlignment="1">
      <alignment horizontal="left"/>
    </xf>
    <xf numFmtId="0" fontId="14" fillId="6" borderId="18" xfId="0" applyFont="1" applyFill="1" applyBorder="1" applyAlignment="1">
      <alignment horizontal="left"/>
    </xf>
    <xf numFmtId="0" fontId="6" fillId="14" borderId="21" xfId="0" applyFont="1" applyFill="1" applyBorder="1" applyAlignment="1">
      <alignment horizontal="left"/>
    </xf>
    <xf numFmtId="0" fontId="6" fillId="14" borderId="0" xfId="0" applyFont="1" applyFill="1" applyAlignment="1">
      <alignment horizontal="left"/>
    </xf>
    <xf numFmtId="0" fontId="6" fillId="14" borderId="18" xfId="0" applyFont="1" applyFill="1" applyBorder="1" applyAlignment="1">
      <alignment horizontal="left"/>
    </xf>
    <xf numFmtId="0" fontId="41" fillId="3" borderId="8"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10" xfId="0" applyFont="1" applyFill="1" applyBorder="1" applyAlignment="1">
      <alignment horizontal="center" vertical="center"/>
    </xf>
    <xf numFmtId="0" fontId="39" fillId="2" borderId="21" xfId="0" applyFont="1" applyFill="1" applyBorder="1" applyAlignment="1">
      <alignment horizontal="left"/>
    </xf>
    <xf numFmtId="0" fontId="39" fillId="2" borderId="0" xfId="0" applyFont="1" applyFill="1" applyBorder="1" applyAlignment="1">
      <alignment horizontal="left"/>
    </xf>
    <xf numFmtId="0" fontId="39" fillId="2" borderId="18" xfId="0" applyFont="1" applyFill="1" applyBorder="1" applyAlignment="1">
      <alignment horizontal="left"/>
    </xf>
    <xf numFmtId="0" fontId="35" fillId="7" borderId="21" xfId="0" applyFont="1" applyFill="1" applyBorder="1" applyAlignment="1">
      <alignment horizontal="left" vertical="center" wrapText="1"/>
    </xf>
    <xf numFmtId="0" fontId="35" fillId="7" borderId="0" xfId="0" applyFont="1" applyFill="1" applyBorder="1" applyAlignment="1">
      <alignment horizontal="left" vertical="center" wrapText="1"/>
    </xf>
    <xf numFmtId="0" fontId="35" fillId="7" borderId="18" xfId="0" applyFont="1" applyFill="1" applyBorder="1" applyAlignment="1">
      <alignment horizontal="left" vertical="center" wrapText="1"/>
    </xf>
    <xf numFmtId="0" fontId="44" fillId="2" borderId="21" xfId="2" applyFont="1" applyFill="1" applyBorder="1" applyAlignment="1">
      <alignment horizontal="left"/>
    </xf>
    <xf numFmtId="0" fontId="44" fillId="2" borderId="0" xfId="2" applyFont="1" applyFill="1" applyBorder="1" applyAlignment="1">
      <alignment horizontal="left"/>
    </xf>
    <xf numFmtId="0" fontId="44" fillId="2" borderId="18" xfId="2" applyFont="1" applyFill="1" applyBorder="1" applyAlignment="1">
      <alignment horizontal="left"/>
    </xf>
    <xf numFmtId="0" fontId="20" fillId="6" borderId="21" xfId="0" applyFont="1" applyFill="1" applyBorder="1" applyAlignment="1">
      <alignment horizontal="left"/>
    </xf>
    <xf numFmtId="0" fontId="20" fillId="6" borderId="0" xfId="0" applyFont="1" applyFill="1" applyBorder="1" applyAlignment="1">
      <alignment horizontal="left"/>
    </xf>
    <xf numFmtId="0" fontId="20" fillId="6" borderId="18" xfId="0" applyFont="1" applyFill="1" applyBorder="1" applyAlignment="1">
      <alignment horizontal="left"/>
    </xf>
    <xf numFmtId="0" fontId="5" fillId="4" borderId="24" xfId="0" quotePrefix="1" applyFont="1" applyFill="1" applyBorder="1" applyAlignment="1">
      <alignment horizontal="left" vertical="top" wrapText="1"/>
    </xf>
    <xf numFmtId="0" fontId="5" fillId="4" borderId="43" xfId="0" quotePrefix="1" applyFont="1" applyFill="1" applyBorder="1" applyAlignment="1">
      <alignment horizontal="left" vertical="top" wrapText="1"/>
    </xf>
    <xf numFmtId="0" fontId="5" fillId="4" borderId="44" xfId="0" quotePrefix="1" applyFont="1" applyFill="1" applyBorder="1" applyAlignment="1">
      <alignment horizontal="left" vertical="top" wrapText="1"/>
    </xf>
    <xf numFmtId="0" fontId="3" fillId="2" borderId="0" xfId="0" quotePrefix="1" applyFont="1" applyFill="1" applyAlignment="1">
      <alignment horizontal="left" vertical="top" wrapText="1"/>
    </xf>
    <xf numFmtId="0" fontId="74" fillId="2" borderId="21" xfId="2" applyFont="1" applyFill="1" applyBorder="1" applyAlignment="1">
      <alignment horizontal="left" vertical="center"/>
    </xf>
    <xf numFmtId="0" fontId="74" fillId="2" borderId="0" xfId="2" applyFont="1" applyFill="1" applyBorder="1" applyAlignment="1">
      <alignment horizontal="left" vertical="center"/>
    </xf>
    <xf numFmtId="0" fontId="74" fillId="2" borderId="18" xfId="2" applyFont="1" applyFill="1" applyBorder="1" applyAlignment="1">
      <alignment horizontal="left" vertical="center"/>
    </xf>
    <xf numFmtId="0" fontId="35" fillId="11" borderId="0" xfId="0" quotePrefix="1" applyFont="1" applyFill="1" applyBorder="1" applyAlignment="1">
      <alignment horizontal="center" vertical="center" wrapText="1"/>
    </xf>
    <xf numFmtId="0" fontId="5" fillId="11" borderId="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34" xfId="0" applyFont="1" applyFill="1" applyBorder="1" applyAlignment="1">
      <alignment horizontal="center" vertical="center"/>
    </xf>
    <xf numFmtId="0" fontId="5" fillId="4" borderId="24" xfId="0" quotePrefix="1" applyFont="1" applyFill="1" applyBorder="1" applyAlignment="1">
      <alignment horizontal="left" vertical="center" wrapText="1"/>
    </xf>
    <xf numFmtId="0" fontId="5" fillId="4" borderId="43" xfId="0" quotePrefix="1" applyFont="1" applyFill="1" applyBorder="1" applyAlignment="1">
      <alignment horizontal="left" vertical="center" wrapText="1"/>
    </xf>
    <xf numFmtId="0" fontId="5" fillId="4" borderId="44" xfId="0" quotePrefix="1" applyFont="1" applyFill="1" applyBorder="1" applyAlignment="1">
      <alignment horizontal="left" vertical="center" wrapText="1"/>
    </xf>
    <xf numFmtId="0" fontId="5" fillId="2" borderId="45" xfId="0" quotePrefix="1" applyFont="1" applyFill="1" applyBorder="1" applyAlignment="1">
      <alignment horizontal="left" vertical="top" wrapText="1"/>
    </xf>
    <xf numFmtId="0" fontId="5" fillId="2" borderId="46" xfId="0" quotePrefix="1" applyFont="1" applyFill="1" applyBorder="1" applyAlignment="1">
      <alignment horizontal="left" vertical="top" wrapText="1"/>
    </xf>
    <xf numFmtId="0" fontId="5" fillId="2" borderId="47" xfId="0" quotePrefix="1" applyFont="1" applyFill="1" applyBorder="1" applyAlignment="1">
      <alignment horizontal="left" vertical="top" wrapText="1"/>
    </xf>
    <xf numFmtId="0" fontId="35" fillId="8" borderId="24" xfId="0" quotePrefix="1" applyFont="1" applyFill="1" applyBorder="1" applyAlignment="1">
      <alignment horizontal="left" vertical="top" wrapText="1"/>
    </xf>
    <xf numFmtId="0" fontId="35" fillId="8" borderId="43" xfId="0" quotePrefix="1" applyFont="1" applyFill="1" applyBorder="1" applyAlignment="1">
      <alignment horizontal="left" vertical="top" wrapText="1"/>
    </xf>
    <xf numFmtId="0" fontId="35" fillId="8" borderId="44" xfId="0" quotePrefix="1" applyFont="1" applyFill="1" applyBorder="1" applyAlignment="1">
      <alignment horizontal="left" vertical="top" wrapText="1"/>
    </xf>
    <xf numFmtId="0" fontId="20" fillId="6" borderId="42" xfId="0" applyFont="1" applyFill="1" applyBorder="1" applyAlignment="1">
      <alignment horizontal="center"/>
    </xf>
    <xf numFmtId="0" fontId="20" fillId="6" borderId="15" xfId="0" applyFont="1" applyFill="1" applyBorder="1" applyAlignment="1">
      <alignment horizontal="center"/>
    </xf>
    <xf numFmtId="0" fontId="20" fillId="6" borderId="39" xfId="0" applyFont="1" applyFill="1" applyBorder="1" applyAlignment="1">
      <alignment horizontal="center"/>
    </xf>
    <xf numFmtId="0" fontId="6" fillId="14" borderId="21" xfId="0" quotePrefix="1" applyFont="1" applyFill="1" applyBorder="1" applyAlignment="1">
      <alignment horizontal="left" vertical="top" wrapText="1"/>
    </xf>
    <xf numFmtId="0" fontId="6" fillId="14" borderId="0" xfId="0" quotePrefix="1" applyFont="1" applyFill="1" applyAlignment="1">
      <alignment horizontal="left" vertical="top" wrapText="1"/>
    </xf>
    <xf numFmtId="0" fontId="6" fillId="14" borderId="18" xfId="0" quotePrefix="1" applyFont="1" applyFill="1" applyBorder="1" applyAlignment="1">
      <alignment horizontal="left" vertical="top" wrapText="1"/>
    </xf>
    <xf numFmtId="0" fontId="37" fillId="14" borderId="1" xfId="0" applyFont="1" applyFill="1" applyBorder="1" applyAlignment="1">
      <alignment horizontal="center"/>
    </xf>
    <xf numFmtId="0" fontId="37" fillId="14" borderId="34" xfId="0" applyFont="1" applyFill="1" applyBorder="1" applyAlignment="1">
      <alignment horizont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35" fillId="14" borderId="22" xfId="0" quotePrefix="1" applyFont="1" applyFill="1" applyBorder="1" applyAlignment="1">
      <alignment horizontal="left" vertical="center" wrapText="1"/>
    </xf>
    <xf numFmtId="0" fontId="35" fillId="14" borderId="28" xfId="0" applyFont="1" applyFill="1" applyBorder="1" applyAlignment="1">
      <alignment horizontal="left" vertical="center"/>
    </xf>
    <xf numFmtId="0" fontId="35" fillId="14" borderId="23" xfId="0" applyFont="1" applyFill="1" applyBorder="1" applyAlignment="1">
      <alignment horizontal="left" vertical="center"/>
    </xf>
    <xf numFmtId="0" fontId="35" fillId="2" borderId="21" xfId="0" quotePrefix="1" applyFont="1" applyFill="1" applyBorder="1" applyAlignment="1">
      <alignment horizontal="left" vertical="center"/>
    </xf>
    <xf numFmtId="0" fontId="35" fillId="2" borderId="0" xfId="0" quotePrefix="1" applyFont="1" applyFill="1" applyBorder="1" applyAlignment="1">
      <alignment horizontal="left" vertical="center"/>
    </xf>
    <xf numFmtId="0" fontId="35" fillId="2" borderId="18" xfId="0" quotePrefix="1" applyFont="1" applyFill="1" applyBorder="1" applyAlignment="1">
      <alignment horizontal="left" vertical="center"/>
    </xf>
    <xf numFmtId="0" fontId="4" fillId="2" borderId="21" xfId="0" quotePrefix="1" applyFont="1" applyFill="1" applyBorder="1" applyAlignment="1">
      <alignment horizontal="left"/>
    </xf>
    <xf numFmtId="0" fontId="4" fillId="2" borderId="0" xfId="0" applyFont="1" applyFill="1" applyBorder="1" applyAlignment="1">
      <alignment horizontal="left"/>
    </xf>
    <xf numFmtId="0" fontId="4" fillId="2" borderId="18" xfId="0" applyFont="1" applyFill="1" applyBorder="1" applyAlignment="1">
      <alignment horizontal="left"/>
    </xf>
    <xf numFmtId="0" fontId="4" fillId="2" borderId="21" xfId="0" quotePrefix="1" applyFont="1" applyFill="1" applyBorder="1" applyAlignment="1">
      <alignment horizontal="left" indent="3"/>
    </xf>
    <xf numFmtId="0" fontId="4" fillId="2" borderId="0" xfId="0" quotePrefix="1" applyFont="1" applyFill="1" applyBorder="1" applyAlignment="1">
      <alignment horizontal="left" indent="3"/>
    </xf>
    <xf numFmtId="0" fontId="4" fillId="2" borderId="18" xfId="0" quotePrefix="1" applyFont="1" applyFill="1" applyBorder="1" applyAlignment="1">
      <alignment horizontal="left" indent="3"/>
    </xf>
    <xf numFmtId="0" fontId="20" fillId="6" borderId="41" xfId="0" applyFont="1" applyFill="1" applyBorder="1" applyAlignment="1">
      <alignment horizontal="center"/>
    </xf>
    <xf numFmtId="0" fontId="20" fillId="6" borderId="36" xfId="0" applyFont="1" applyFill="1" applyBorder="1" applyAlignment="1">
      <alignment horizontal="center"/>
    </xf>
    <xf numFmtId="0" fontId="20" fillId="6" borderId="37" xfId="0" applyFont="1" applyFill="1" applyBorder="1" applyAlignment="1">
      <alignment horizontal="center"/>
    </xf>
    <xf numFmtId="0" fontId="56" fillId="2" borderId="21" xfId="0" quotePrefix="1" applyFont="1" applyFill="1" applyBorder="1" applyAlignment="1">
      <alignment horizontal="left" vertical="center" wrapText="1"/>
    </xf>
    <xf numFmtId="0" fontId="56" fillId="2" borderId="0" xfId="0" quotePrefix="1" applyFont="1" applyFill="1" applyBorder="1" applyAlignment="1">
      <alignment horizontal="left" vertical="center" wrapText="1"/>
    </xf>
    <xf numFmtId="0" fontId="56" fillId="2" borderId="18" xfId="0" quotePrefix="1" applyFont="1" applyFill="1" applyBorder="1" applyAlignment="1">
      <alignment horizontal="left" vertical="center" wrapText="1"/>
    </xf>
    <xf numFmtId="0" fontId="20" fillId="6" borderId="21" xfId="0" quotePrefix="1" applyFont="1" applyFill="1" applyBorder="1" applyAlignment="1">
      <alignment horizontal="left" vertical="center"/>
    </xf>
    <xf numFmtId="0" fontId="20" fillId="6" borderId="0" xfId="0" quotePrefix="1" applyFont="1" applyFill="1" applyBorder="1" applyAlignment="1">
      <alignment horizontal="left" vertical="center"/>
    </xf>
    <xf numFmtId="0" fontId="20" fillId="6" borderId="18" xfId="0" quotePrefix="1" applyFont="1" applyFill="1" applyBorder="1" applyAlignment="1">
      <alignment horizontal="left" vertical="center"/>
    </xf>
    <xf numFmtId="0" fontId="4" fillId="2" borderId="21" xfId="0" quotePrefix="1" applyFont="1" applyFill="1" applyBorder="1" applyAlignment="1">
      <alignment vertical="center" wrapText="1"/>
    </xf>
    <xf numFmtId="0" fontId="4" fillId="2" borderId="0" xfId="0" quotePrefix="1" applyFont="1" applyFill="1" applyBorder="1" applyAlignment="1">
      <alignment vertical="center" wrapText="1"/>
    </xf>
    <xf numFmtId="0" fontId="4" fillId="2" borderId="18" xfId="0" quotePrefix="1" applyFont="1" applyFill="1" applyBorder="1" applyAlignment="1">
      <alignment vertical="center" wrapText="1"/>
    </xf>
    <xf numFmtId="0" fontId="42" fillId="3" borderId="0" xfId="0" applyFont="1" applyFill="1" applyAlignment="1">
      <alignment horizontal="center" vertical="center" wrapText="1"/>
    </xf>
    <xf numFmtId="0" fontId="6" fillId="2" borderId="21" xfId="0" quotePrefix="1" applyFont="1" applyFill="1" applyBorder="1" applyAlignment="1">
      <alignment horizontal="left" vertical="center"/>
    </xf>
    <xf numFmtId="0" fontId="6" fillId="2" borderId="18" xfId="0" quotePrefix="1" applyFont="1" applyFill="1" applyBorder="1" applyAlignment="1">
      <alignment horizontal="left" vertical="center"/>
    </xf>
    <xf numFmtId="0" fontId="42" fillId="6" borderId="21" xfId="0" quotePrefix="1" applyFont="1" applyFill="1" applyBorder="1" applyAlignment="1">
      <alignment horizontal="left"/>
    </xf>
    <xf numFmtId="0" fontId="42" fillId="6" borderId="18" xfId="0" quotePrefix="1" applyFont="1" applyFill="1" applyBorder="1" applyAlignment="1">
      <alignment horizontal="left"/>
    </xf>
    <xf numFmtId="0" fontId="43" fillId="11" borderId="19" xfId="0" applyFont="1" applyFill="1" applyBorder="1" applyAlignment="1" applyProtection="1">
      <alignment horizontal="left" vertical="center"/>
      <protection locked="0"/>
    </xf>
    <xf numFmtId="0" fontId="43" fillId="11" borderId="20" xfId="0" applyFont="1" applyFill="1" applyBorder="1" applyAlignment="1" applyProtection="1">
      <alignment horizontal="left" vertical="center"/>
      <protection locked="0"/>
    </xf>
    <xf numFmtId="0" fontId="43" fillId="11" borderId="21" xfId="0" applyFont="1" applyFill="1" applyBorder="1" applyAlignment="1" applyProtection="1">
      <alignment horizontal="left" vertical="center"/>
      <protection locked="0"/>
    </xf>
    <xf numFmtId="0" fontId="43" fillId="11" borderId="18" xfId="0" applyFont="1" applyFill="1" applyBorder="1" applyAlignment="1" applyProtection="1">
      <alignment horizontal="left" vertical="center"/>
      <protection locked="0"/>
    </xf>
    <xf numFmtId="0" fontId="43" fillId="11" borderId="22" xfId="0" applyFont="1" applyFill="1" applyBorder="1" applyAlignment="1" applyProtection="1">
      <alignment horizontal="left" vertical="center"/>
      <protection locked="0"/>
    </xf>
    <xf numFmtId="0" fontId="43" fillId="11" borderId="23" xfId="0" applyFont="1" applyFill="1" applyBorder="1" applyAlignment="1" applyProtection="1">
      <alignment horizontal="left" vertical="center"/>
      <protection locked="0"/>
    </xf>
    <xf numFmtId="0" fontId="42" fillId="6" borderId="21" xfId="0" applyFont="1" applyFill="1" applyBorder="1" applyAlignment="1">
      <alignment horizontal="left"/>
    </xf>
    <xf numFmtId="0" fontId="42" fillId="6" borderId="18" xfId="0" applyFont="1" applyFill="1" applyBorder="1" applyAlignment="1">
      <alignment horizontal="left"/>
    </xf>
    <xf numFmtId="0" fontId="3" fillId="0" borderId="21" xfId="0" applyFont="1" applyBorder="1" applyAlignment="1">
      <alignment horizontal="left"/>
    </xf>
    <xf numFmtId="0" fontId="3" fillId="0" borderId="18" xfId="0" applyFont="1" applyBorder="1" applyAlignment="1">
      <alignment horizontal="left"/>
    </xf>
    <xf numFmtId="49" fontId="43" fillId="11" borderId="19" xfId="0" applyNumberFormat="1" applyFont="1" applyFill="1" applyBorder="1" applyAlignment="1" applyProtection="1">
      <alignment horizontal="left" vertical="center"/>
      <protection locked="0"/>
    </xf>
    <xf numFmtId="49" fontId="43" fillId="11" borderId="20" xfId="0" applyNumberFormat="1" applyFont="1" applyFill="1" applyBorder="1" applyAlignment="1" applyProtection="1">
      <alignment horizontal="left" vertical="center"/>
      <protection locked="0"/>
    </xf>
    <xf numFmtId="49" fontId="43" fillId="11" borderId="21" xfId="0" applyNumberFormat="1" applyFont="1" applyFill="1" applyBorder="1" applyAlignment="1" applyProtection="1">
      <alignment horizontal="left" vertical="center"/>
      <protection locked="0"/>
    </xf>
    <xf numFmtId="49" fontId="43" fillId="11" borderId="18" xfId="0" applyNumberFormat="1" applyFont="1" applyFill="1" applyBorder="1" applyAlignment="1" applyProtection="1">
      <alignment horizontal="left" vertical="center"/>
      <protection locked="0"/>
    </xf>
    <xf numFmtId="49" fontId="43" fillId="11" borderId="22" xfId="0" applyNumberFormat="1" applyFont="1" applyFill="1" applyBorder="1" applyAlignment="1" applyProtection="1">
      <alignment horizontal="left" vertical="center"/>
      <protection locked="0"/>
    </xf>
    <xf numFmtId="49" fontId="43" fillId="11" borderId="23" xfId="0" applyNumberFormat="1" applyFont="1" applyFill="1" applyBorder="1" applyAlignment="1" applyProtection="1">
      <alignment horizontal="left" vertical="center"/>
      <protection locked="0"/>
    </xf>
    <xf numFmtId="0" fontId="3" fillId="2" borderId="19" xfId="0" applyFont="1" applyFill="1" applyBorder="1" applyAlignment="1">
      <alignment horizontal="center"/>
    </xf>
    <xf numFmtId="0" fontId="3" fillId="2" borderId="20" xfId="0" applyFont="1" applyFill="1" applyBorder="1" applyAlignment="1">
      <alignment horizontal="center"/>
    </xf>
    <xf numFmtId="0" fontId="10" fillId="4" borderId="21"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3" fillId="3" borderId="19" xfId="0" applyFont="1" applyFill="1" applyBorder="1" applyAlignment="1" applyProtection="1">
      <alignment horizontal="center" vertical="center"/>
    </xf>
    <xf numFmtId="0" fontId="13" fillId="3" borderId="40" xfId="0" applyFont="1" applyFill="1" applyBorder="1" applyAlignment="1" applyProtection="1">
      <alignment horizontal="center" vertical="center"/>
    </xf>
    <xf numFmtId="0" fontId="13" fillId="3" borderId="20"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63" fillId="4" borderId="48" xfId="0" applyFont="1" applyFill="1" applyBorder="1" applyAlignment="1">
      <alignment horizontal="center" vertical="center" wrapText="1"/>
    </xf>
    <xf numFmtId="0" fontId="63" fillId="4" borderId="52" xfId="0" applyFont="1" applyFill="1" applyBorder="1" applyAlignment="1">
      <alignment horizontal="center" vertical="center" wrapText="1"/>
    </xf>
    <xf numFmtId="0" fontId="63" fillId="4" borderId="49" xfId="0" applyFont="1" applyFill="1" applyBorder="1" applyAlignment="1">
      <alignment horizontal="center" vertical="center" wrapText="1"/>
    </xf>
    <xf numFmtId="0" fontId="76" fillId="2" borderId="0" xfId="0" applyFont="1" applyFill="1" applyBorder="1" applyAlignment="1" applyProtection="1">
      <alignment horizontal="left" vertical="top" wrapText="1"/>
    </xf>
    <xf numFmtId="0" fontId="5" fillId="2"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xf>
    <xf numFmtId="0" fontId="39" fillId="4" borderId="0" xfId="0" applyFont="1" applyFill="1" applyBorder="1" applyAlignment="1" applyProtection="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10" xfId="0" applyFont="1" applyFill="1" applyBorder="1" applyAlignment="1">
      <alignment horizontal="center" vertical="center"/>
    </xf>
    <xf numFmtId="0" fontId="4" fillId="2" borderId="9" xfId="0" applyFont="1" applyFill="1" applyBorder="1" applyAlignment="1">
      <alignment horizontal="center" vertical="center" wrapText="1"/>
    </xf>
    <xf numFmtId="0" fontId="55" fillId="7" borderId="1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52" fillId="4" borderId="0" xfId="0" applyFont="1" applyFill="1" applyBorder="1" applyAlignment="1">
      <alignment horizontal="center" vertical="center"/>
    </xf>
    <xf numFmtId="0" fontId="27" fillId="7" borderId="1" xfId="0" applyFont="1" applyFill="1" applyBorder="1" applyAlignment="1">
      <alignment horizontal="left" vertical="center" wrapText="1"/>
    </xf>
    <xf numFmtId="0" fontId="27" fillId="7" borderId="1" xfId="0" applyFont="1" applyFill="1" applyBorder="1" applyAlignment="1">
      <alignment horizontal="center" vertical="center"/>
    </xf>
    <xf numFmtId="0" fontId="3" fillId="2" borderId="0"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6" fillId="3" borderId="3"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16" xfId="0" applyFont="1" applyFill="1" applyBorder="1" applyAlignment="1">
      <alignment horizontal="center" vertical="center"/>
    </xf>
    <xf numFmtId="0" fontId="46" fillId="3" borderId="15" xfId="0" applyFont="1" applyFill="1" applyBorder="1" applyAlignment="1">
      <alignment horizontal="center" vertical="center"/>
    </xf>
    <xf numFmtId="0" fontId="46" fillId="3" borderId="17" xfId="0" applyFont="1" applyFill="1" applyBorder="1" applyAlignment="1">
      <alignment horizontal="center" vertical="center"/>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1" xfId="0" applyFont="1" applyFill="1" applyBorder="1" applyAlignment="1">
      <alignment horizontal="left" vertical="center"/>
    </xf>
    <xf numFmtId="0" fontId="27" fillId="7" borderId="6" xfId="0" applyFont="1" applyFill="1" applyBorder="1" applyAlignment="1">
      <alignment horizontal="center"/>
    </xf>
    <xf numFmtId="0" fontId="47" fillId="7" borderId="15" xfId="0" applyFont="1" applyFill="1" applyBorder="1" applyAlignment="1">
      <alignment horizontal="center"/>
    </xf>
    <xf numFmtId="0" fontId="3" fillId="2" borderId="0" xfId="0" applyFont="1" applyFill="1" applyAlignment="1">
      <alignment horizontal="center"/>
    </xf>
    <xf numFmtId="0" fontId="59" fillId="12" borderId="48" xfId="0" applyFont="1" applyFill="1" applyBorder="1" applyAlignment="1">
      <alignment horizontal="center" vertical="center" wrapText="1"/>
    </xf>
    <xf numFmtId="0" fontId="59" fillId="12" borderId="52" xfId="0" applyFont="1" applyFill="1" applyBorder="1" applyAlignment="1">
      <alignment horizontal="center" vertical="center" wrapText="1"/>
    </xf>
    <xf numFmtId="0" fontId="59" fillId="12" borderId="21" xfId="0" applyFont="1" applyFill="1" applyBorder="1" applyAlignment="1">
      <alignment horizontal="center" vertical="center" wrapText="1"/>
    </xf>
    <xf numFmtId="0" fontId="26" fillId="12" borderId="16" xfId="0" quotePrefix="1" applyFont="1" applyFill="1" applyBorder="1" applyAlignment="1">
      <alignment horizontal="center"/>
    </xf>
    <xf numFmtId="0" fontId="26" fillId="12" borderId="15" xfId="0" quotePrefix="1" applyFont="1" applyFill="1" applyBorder="1" applyAlignment="1">
      <alignment horizontal="center"/>
    </xf>
    <xf numFmtId="0" fontId="59" fillId="12" borderId="48" xfId="0" applyFont="1" applyFill="1" applyBorder="1" applyAlignment="1">
      <alignment horizontal="center" vertical="center"/>
    </xf>
    <xf numFmtId="0" fontId="59" fillId="12" borderId="52" xfId="0" applyFont="1" applyFill="1" applyBorder="1" applyAlignment="1">
      <alignment horizontal="center" vertical="center"/>
    </xf>
    <xf numFmtId="0" fontId="59" fillId="12" borderId="21" xfId="0" applyFont="1" applyFill="1" applyBorder="1" applyAlignment="1">
      <alignment horizontal="center" vertical="center"/>
    </xf>
    <xf numFmtId="0" fontId="0" fillId="20" borderId="1" xfId="0" applyFill="1" applyBorder="1" applyAlignment="1">
      <alignment horizontal="center" vertical="center"/>
    </xf>
    <xf numFmtId="0" fontId="0" fillId="22" borderId="1" xfId="0" applyFill="1" applyBorder="1" applyAlignment="1">
      <alignment horizontal="center" vertical="center"/>
    </xf>
    <xf numFmtId="0" fontId="0" fillId="24"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cellXfs>
  <cellStyles count="4">
    <cellStyle name="Hyperlink" xfId="2" builtinId="8"/>
    <cellStyle name="Normal" xfId="0" builtinId="0"/>
    <cellStyle name="Normal 2" xfId="3" xr:uid="{00000000-0005-0000-0000-000003000000}"/>
    <cellStyle name="Percent" xfId="1" builtinId="5"/>
  </cellStyles>
  <dxfs count="50">
    <dxf>
      <font>
        <b/>
        <i val="0"/>
      </font>
    </dxf>
    <dxf>
      <numFmt numFmtId="164" formatCode="0.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tint="-4.9989318521683403E-2"/>
      </font>
    </dxf>
    <dxf>
      <fill>
        <patternFill>
          <bgColor theme="0" tint="-0.24994659260841701"/>
        </patternFill>
      </fill>
    </dxf>
    <dxf>
      <fill>
        <patternFill>
          <bgColor theme="7" tint="0.59996337778862885"/>
        </patternFill>
      </fill>
    </dxf>
    <dxf>
      <fill>
        <patternFill>
          <bgColor theme="7" tint="0.59996337778862885"/>
        </patternFill>
      </fill>
    </dxf>
    <dxf>
      <fill>
        <patternFill patternType="lightDown">
          <fgColor auto="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patternType="lightDown"/>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ont>
        <color theme="0" tint="-4.9989318521683403E-2"/>
      </font>
    </dxf>
    <dxf>
      <font>
        <color theme="0" tint="-0.24994659260841701"/>
      </font>
      <fill>
        <patternFill>
          <bgColor theme="0" tint="-0.24994659260841701"/>
        </patternFill>
      </fill>
    </dxf>
    <dxf>
      <fill>
        <patternFill>
          <bgColor theme="0" tint="-0.24994659260841701"/>
        </patternFill>
      </fill>
    </dxf>
    <dxf>
      <fill>
        <patternFill>
          <bgColor theme="9" tint="0.59996337778862885"/>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ont>
        <b val="0"/>
        <i/>
        <strike val="0"/>
        <color rgb="FF5F3D61"/>
      </font>
      <fill>
        <patternFill>
          <bgColor theme="0" tint="-0.14996795556505021"/>
        </patternFill>
      </fill>
    </dxf>
    <dxf>
      <font>
        <color rgb="FF00B050"/>
      </font>
    </dxf>
    <dxf>
      <font>
        <color rgb="FFFF0000"/>
      </font>
    </dxf>
    <dxf>
      <font>
        <color theme="0"/>
      </font>
    </dxf>
    <dxf>
      <fill>
        <patternFill>
          <bgColor theme="0" tint="-0.14996795556505021"/>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patternType="solid">
          <bgColor theme="0"/>
        </patternFill>
      </fill>
    </dxf>
    <dxf>
      <fill>
        <patternFill>
          <bgColor theme="0" tint="-0.14996795556505021"/>
        </patternFill>
      </fill>
    </dxf>
    <dxf>
      <font>
        <color theme="0"/>
      </font>
    </dxf>
    <dxf>
      <font>
        <color rgb="FF00B050"/>
      </font>
    </dxf>
    <dxf>
      <font>
        <color rgb="FFFF0000"/>
      </font>
    </dxf>
    <dxf>
      <font>
        <color rgb="FFFF0000"/>
      </font>
    </dxf>
    <dxf>
      <font>
        <color rgb="FF00B050"/>
      </font>
    </dxf>
    <dxf>
      <fill>
        <patternFill patternType="none">
          <fgColor indexed="64"/>
          <bgColor indexed="65"/>
        </patternFill>
      </fill>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colors>
    <mruColors>
      <color rgb="FFFFD5D5"/>
      <color rgb="FFEDE2F6"/>
      <color rgb="FFFFA7A7"/>
      <color rgb="FFE2D2E3"/>
      <color rgb="FF7F5181"/>
      <color rgb="FF5F3D61"/>
      <color rgb="FF2E6380"/>
      <color rgb="FF7AC142"/>
      <color rgb="FF548235"/>
      <color rgb="FFE9F2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M$4"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M$5" lockText="1"/>
</file>

<file path=xl/ctrlProps/ctrlProp4.xml><?xml version="1.0" encoding="utf-8"?>
<formControlPr xmlns="http://schemas.microsoft.com/office/spreadsheetml/2009/9/main" objectType="CheckBox" fmlaLink="$L$45" lockText="1"/>
</file>

<file path=xl/ctrlProps/ctrlProp5.xml><?xml version="1.0" encoding="utf-8"?>
<formControlPr xmlns="http://schemas.microsoft.com/office/spreadsheetml/2009/9/main" objectType="CheckBox" fmlaLink="$L$16" lockText="1"/>
</file>

<file path=xl/ctrlProps/ctrlProp6.xml><?xml version="1.0" encoding="utf-8"?>
<formControlPr xmlns="http://schemas.microsoft.com/office/spreadsheetml/2009/9/main" objectType="CheckBox" fmlaLink="$L$18" lockText="1"/>
</file>

<file path=xl/ctrlProps/ctrlProp7.xml><?xml version="1.0" encoding="utf-8"?>
<formControlPr xmlns="http://schemas.microsoft.com/office/spreadsheetml/2009/9/main" objectType="CheckBox" fmlaLink="$L$20" lockText="1"/>
</file>

<file path=xl/ctrlProps/ctrlProp8.xml><?xml version="1.0" encoding="utf-8"?>
<formControlPr xmlns="http://schemas.microsoft.com/office/spreadsheetml/2009/9/main" objectType="CheckBox" fmlaLink="$L$19" lockText="1"/>
</file>

<file path=xl/ctrlProps/ctrlProp9.xml><?xml version="1.0" encoding="utf-8"?>
<formControlPr xmlns="http://schemas.microsoft.com/office/spreadsheetml/2009/9/main" objectType="CheckBox" fmlaLink="$L$17" lockText="1"/>
</file>

<file path=xl/ctrlProps/ctrlProp10.xml><?xml version="1.0" encoding="utf-8"?>
<formControlPr xmlns="http://schemas.microsoft.com/office/spreadsheetml/2009/9/main" objectType="CheckBox" fmlaLink="$L$34" lockText="1"/>
</file>

<file path=xl/ctrlProps/ctrlProp11.xml><?xml version="1.0" encoding="utf-8"?>
<formControlPr xmlns="http://schemas.microsoft.com/office/spreadsheetml/2009/9/main" objectType="CheckBox" fmlaLink="$L$35" lockText="1"/>
</file>

<file path=xl/ctrlProps/ctrlProp12.xml><?xml version="1.0" encoding="utf-8"?>
<formControlPr xmlns="http://schemas.microsoft.com/office/spreadsheetml/2009/9/main" objectType="CheckBox" fmlaLink="$L$36" lockText="1"/>
</file>

<file path=xl/ctrlProps/ctrlProp13.xml><?xml version="1.0" encoding="utf-8"?>
<formControlPr xmlns="http://schemas.microsoft.com/office/spreadsheetml/2009/9/main" objectType="CheckBox" fmlaLink="$L$37" lockText="1"/>
</file>

<file path=xl/ctrlProps/ctrlProp14.xml><?xml version="1.0" encoding="utf-8"?>
<formControlPr xmlns="http://schemas.microsoft.com/office/spreadsheetml/2009/9/main" objectType="CheckBox" fmlaLink="L27" lockText="1"/>
</file>

<file path=xl/ctrlProps/ctrlProp15.xml><?xml version="1.0" encoding="utf-8"?>
<formControlPr xmlns="http://schemas.microsoft.com/office/spreadsheetml/2009/9/main" objectType="CheckBox" fmlaLink="$L$21" lockText="1"/>
</file>

<file path=xl/ctrlProps/ctrlProp16.xml><?xml version="1.0" encoding="utf-8"?>
<formControlPr xmlns="http://schemas.microsoft.com/office/spreadsheetml/2009/9/main" objectType="CheckBox" fmlaLink="$L$38" lockText="1"/>
</file>

<file path=xl/ctrlProps/ctrlProp17.xml><?xml version="1.0" encoding="utf-8"?>
<formControlPr xmlns="http://schemas.microsoft.com/office/spreadsheetml/2009/9/main" objectType="CheckBox" fmlaLink="L26" lockText="1"/>
</file>

<file path=xl/ctrlProps/ctrlProp18.xml><?xml version="1.0" encoding="utf-8"?>
<formControlPr xmlns="http://schemas.microsoft.com/office/spreadsheetml/2009/9/main" objectType="CheckBox" fmlaLink="L25" lockText="1"/>
</file>

<file path=xl/ctrlProps/ctrlProp19.xml><?xml version="1.0" encoding="utf-8"?>
<formControlPr xmlns="http://schemas.microsoft.com/office/spreadsheetml/2009/9/main" objectType="CheckBox" fmlaLink="$L$46" lockText="1"/>
</file>

<file path=xl/ctrlProps/ctrlProp20.xml><?xml version="1.0" encoding="utf-8"?>
<formControlPr xmlns="http://schemas.microsoft.com/office/spreadsheetml/2009/9/main" objectType="CheckBox" fmlaLink="$L$47" lockText="1"/>
</file>

<file path=xl/ctrlProps/ctrlProp21.xml><?xml version="1.0" encoding="utf-8"?>
<formControlPr xmlns="http://schemas.microsoft.com/office/spreadsheetml/2009/9/main" objectType="CheckBox" fmlaLink="$L$48" lockText="1"/>
</file>

<file path=xl/ctrlProps/ctrlProp22.xml><?xml version="1.0" encoding="utf-8"?>
<formControlPr xmlns="http://schemas.microsoft.com/office/spreadsheetml/2009/9/main" objectType="CheckBox" fmlaLink="$L$49" lockText="1"/>
</file>

<file path=xl/ctrlProps/ctrlProp23.xml><?xml version="1.0" encoding="utf-8"?>
<formControlPr xmlns="http://schemas.microsoft.com/office/spreadsheetml/2009/9/main" objectType="CheckBox" fmlaLink="$L$50" lockText="1"/>
</file>

<file path=xl/ctrlProps/ctrlProp24.xml><?xml version="1.0" encoding="utf-8"?>
<formControlPr xmlns="http://schemas.microsoft.com/office/spreadsheetml/2009/9/main" objectType="CheckBox" fmlaLink="$L$51" lockText="1"/>
</file>

<file path=xl/ctrlProps/ctrlProp25.xml><?xml version="1.0" encoding="utf-8"?>
<formControlPr xmlns="http://schemas.microsoft.com/office/spreadsheetml/2009/9/main" objectType="CheckBox" fmlaLink="$L$52" lockText="1"/>
</file>

<file path=xl/ctrlProps/ctrlProp26.xml><?xml version="1.0" encoding="utf-8"?>
<formControlPr xmlns="http://schemas.microsoft.com/office/spreadsheetml/2009/9/main" objectType="CheckBox" fmlaLink="$L$53" lockText="1"/>
</file>

<file path=xl/ctrlProps/ctrlProp27.xml><?xml version="1.0" encoding="utf-8"?>
<formControlPr xmlns="http://schemas.microsoft.com/office/spreadsheetml/2009/9/main" objectType="CheckBox" fmlaLink="$L$22" lockText="1"/>
</file>

<file path=xl/ctrlProps/ctrlProp28.xml><?xml version="1.0" encoding="utf-8"?>
<formControlPr xmlns="http://schemas.microsoft.com/office/spreadsheetml/2009/9/main" objectType="CheckBox" fmlaLink="$L$37" lockText="1"/>
</file>

<file path=xl/ctrlProps/ctrlProp29.xml><?xml version="1.0" encoding="utf-8"?>
<formControlPr xmlns="http://schemas.microsoft.com/office/spreadsheetml/2009/9/main" objectType="CheckBox" fmlaLink="$L$38" lockText="1"/>
</file>

<file path=xl/ctrlProps/ctrlProp30.xml><?xml version="1.0" encoding="utf-8"?>
<formControlPr xmlns="http://schemas.microsoft.com/office/spreadsheetml/2009/9/main" objectType="CheckBox" fmlaLink="$L$39" lockText="1"/>
</file>

<file path=xl/ctrlProps/ctrlProp31.xml><?xml version="1.0" encoding="utf-8"?>
<formControlPr xmlns="http://schemas.microsoft.com/office/spreadsheetml/2009/9/main" objectType="CheckBox" fmlaLink="$L$40" lockText="1"/>
</file>

<file path=xl/ctrlProps/ctrlProp32.xml><?xml version="1.0" encoding="utf-8"?>
<formControlPr xmlns="http://schemas.microsoft.com/office/spreadsheetml/2009/9/main" objectType="CheckBox" fmlaLink="$L$41" lockText="1"/>
</file>

<file path=xl/ctrlProps/ctrlProp33.xml><?xml version="1.0" encoding="utf-8"?>
<formControlPr xmlns="http://schemas.microsoft.com/office/spreadsheetml/2009/9/main" objectType="CheckBox" fmlaLink="$L$42" lockText="1"/>
</file>

<file path=xl/ctrlProps/ctrlProp34.xml><?xml version="1.0" encoding="utf-8"?>
<formControlPr xmlns="http://schemas.microsoft.com/office/spreadsheetml/2009/9/main" objectType="CheckBox" fmlaLink="$L$21" lockText="1"/>
</file>

<file path=xl/ctrlProps/ctrlProp35.xml><?xml version="1.0" encoding="utf-8"?>
<formControlPr xmlns="http://schemas.microsoft.com/office/spreadsheetml/2009/9/main" objectType="CheckBox" fmlaLink="L28" lockText="1"/>
</file>

<file path=xl/ctrlProps/ctrlProp36.xml><?xml version="1.0" encoding="utf-8"?>
<formControlPr xmlns="http://schemas.microsoft.com/office/spreadsheetml/2009/9/main" objectType="CheckBox" fmlaLink="L29" lockText="1"/>
</file>

<file path=xl/ctrlProps/ctrlProp37.xml><?xml version="1.0" encoding="utf-8"?>
<formControlPr xmlns="http://schemas.microsoft.com/office/spreadsheetml/2009/9/main" objectType="CheckBox" fmlaLink="L30" lockText="1"/>
</file>

<file path=xl/ctrlProps/ctrlProp38.xml><?xml version="1.0" encoding="utf-8"?>
<formControlPr xmlns="http://schemas.microsoft.com/office/spreadsheetml/2009/9/main" objectType="CheckBox" fmlaLink="L31" lockText="1"/>
</file>

<file path=xl/drawings/drawing1.xml><?xml version="1.0" encoding="utf-8"?>
<xdr:wsDr xmlns:xdr="http://schemas.openxmlformats.org/drawingml/2006/spreadsheetDrawing" xmlns:a="http://schemas.openxmlformats.org/drawingml/2006/main">
  <xdr:twoCellAnchor>
    <xdr:from>
      <xdr:col>1</xdr:col>
      <xdr:colOff>432229</xdr:colOff>
      <xdr:row>22</xdr:row>
      <xdr:rowOff>25743</xdr:rowOff>
    </xdr:from>
    <xdr:to>
      <xdr:col>1</xdr:col>
      <xdr:colOff>521301</xdr:colOff>
      <xdr:row>22</xdr:row>
      <xdr:rowOff>186639</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a:off x="1043631" y="4408530"/>
          <a:ext cx="89072" cy="160896"/>
        </a:xfrm>
        <a:prstGeom prst="downArrow">
          <a:avLst>
            <a:gd name="adj1" fmla="val 17494"/>
            <a:gd name="adj2" fmla="val 41134"/>
          </a:avLst>
        </a:prstGeom>
        <a:solidFill>
          <a:srgbClr val="2E6380"/>
        </a:solidFill>
        <a:ln>
          <a:solidFill>
            <a:srgbClr val="2E63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457200</xdr:colOff>
          <xdr:row>5</xdr:row>
          <xdr:rowOff>9525</xdr:rowOff>
        </xdr:from>
        <xdr:to>
          <xdr:col>4</xdr:col>
          <xdr:colOff>771525</xdr:colOff>
          <xdr:row>5</xdr:row>
          <xdr:rowOff>228600</xdr:rowOff>
        </xdr:to>
        <xdr:sp macro="" textlink="">
          <xdr:nvSpPr>
            <xdr:cNvPr id="2218" name="Option Butto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6</xdr:row>
          <xdr:rowOff>57150</xdr:rowOff>
        </xdr:from>
        <xdr:to>
          <xdr:col>4</xdr:col>
          <xdr:colOff>771525</xdr:colOff>
          <xdr:row>6</xdr:row>
          <xdr:rowOff>276225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738186</xdr:colOff>
      <xdr:row>3</xdr:row>
      <xdr:rowOff>104772</xdr:rowOff>
    </xdr:from>
    <xdr:to>
      <xdr:col>5</xdr:col>
      <xdr:colOff>35717</xdr:colOff>
      <xdr:row>3</xdr:row>
      <xdr:rowOff>359568</xdr:rowOff>
    </xdr:to>
    <xdr:sp macro="" textlink="">
      <xdr:nvSpPr>
        <xdr:cNvPr id="174" name="Arrow: Right 176">
          <a:extLst>
            <a:ext uri="{FF2B5EF4-FFF2-40B4-BE49-F238E27FC236}">
              <a16:creationId xmlns:a16="http://schemas.microsoft.com/office/drawing/2014/main" id="{00000000-0008-0000-0100-0000B1000000}"/>
            </a:ext>
          </a:extLst>
        </xdr:cNvPr>
        <xdr:cNvSpPr/>
      </xdr:nvSpPr>
      <xdr:spPr>
        <a:xfrm rot="10800000">
          <a:off x="10346530" y="759616"/>
          <a:ext cx="464343" cy="254796"/>
        </a:xfrm>
        <a:prstGeom prs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466725</xdr:colOff>
          <xdr:row>3</xdr:row>
          <xdr:rowOff>38100</xdr:rowOff>
        </xdr:from>
        <xdr:to>
          <xdr:col>4</xdr:col>
          <xdr:colOff>723900</xdr:colOff>
          <xdr:row>3</xdr:row>
          <xdr:rowOff>342900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44</xdr:row>
          <xdr:rowOff>28575</xdr:rowOff>
        </xdr:from>
        <xdr:to>
          <xdr:col>4</xdr:col>
          <xdr:colOff>914400</xdr:colOff>
          <xdr:row>45</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15</xdr:row>
          <xdr:rowOff>28575</xdr:rowOff>
        </xdr:from>
        <xdr:to>
          <xdr:col>4</xdr:col>
          <xdr:colOff>914400</xdr:colOff>
          <xdr:row>16</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28575</xdr:rowOff>
        </xdr:from>
        <xdr:to>
          <xdr:col>4</xdr:col>
          <xdr:colOff>914400</xdr:colOff>
          <xdr:row>18</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19</xdr:row>
          <xdr:rowOff>28575</xdr:rowOff>
        </xdr:from>
        <xdr:to>
          <xdr:col>4</xdr:col>
          <xdr:colOff>914400</xdr:colOff>
          <xdr:row>20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28575</xdr:rowOff>
        </xdr:from>
        <xdr:to>
          <xdr:col>4</xdr:col>
          <xdr:colOff>914400</xdr:colOff>
          <xdr:row>19</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16</xdr:row>
          <xdr:rowOff>28575</xdr:rowOff>
        </xdr:from>
        <xdr:to>
          <xdr:col>4</xdr:col>
          <xdr:colOff>914400</xdr:colOff>
          <xdr:row>17</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33</xdr:row>
          <xdr:rowOff>28575</xdr:rowOff>
        </xdr:from>
        <xdr:to>
          <xdr:col>4</xdr:col>
          <xdr:colOff>914400</xdr:colOff>
          <xdr:row>34</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34</xdr:row>
          <xdr:rowOff>28575</xdr:rowOff>
        </xdr:from>
        <xdr:to>
          <xdr:col>4</xdr:col>
          <xdr:colOff>914400</xdr:colOff>
          <xdr:row>35</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35</xdr:row>
          <xdr:rowOff>28575</xdr:rowOff>
        </xdr:from>
        <xdr:to>
          <xdr:col>4</xdr:col>
          <xdr:colOff>914400</xdr:colOff>
          <xdr:row>36</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36</xdr:row>
          <xdr:rowOff>28575</xdr:rowOff>
        </xdr:from>
        <xdr:to>
          <xdr:col>4</xdr:col>
          <xdr:colOff>914400</xdr:colOff>
          <xdr:row>37</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26</xdr:row>
          <xdr:rowOff>28575</xdr:rowOff>
        </xdr:from>
        <xdr:to>
          <xdr:col>4</xdr:col>
          <xdr:colOff>904875</xdr:colOff>
          <xdr:row>27</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20</xdr:row>
          <xdr:rowOff>28575</xdr:rowOff>
        </xdr:from>
        <xdr:to>
          <xdr:col>4</xdr:col>
          <xdr:colOff>914400</xdr:colOff>
          <xdr:row>21</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37</xdr:row>
          <xdr:rowOff>28575</xdr:rowOff>
        </xdr:from>
        <xdr:to>
          <xdr:col>4</xdr:col>
          <xdr:colOff>914400</xdr:colOff>
          <xdr:row>38</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25</xdr:row>
          <xdr:rowOff>19050</xdr:rowOff>
        </xdr:from>
        <xdr:to>
          <xdr:col>4</xdr:col>
          <xdr:colOff>904875</xdr:colOff>
          <xdr:row>25</xdr:row>
          <xdr:rowOff>247650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24</xdr:row>
          <xdr:rowOff>9525</xdr:rowOff>
        </xdr:from>
        <xdr:to>
          <xdr:col>4</xdr:col>
          <xdr:colOff>904875</xdr:colOff>
          <xdr:row>24</xdr:row>
          <xdr:rowOff>238125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45</xdr:row>
          <xdr:rowOff>28575</xdr:rowOff>
        </xdr:from>
        <xdr:to>
          <xdr:col>4</xdr:col>
          <xdr:colOff>914400</xdr:colOff>
          <xdr:row>45</xdr:row>
          <xdr:rowOff>247650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46</xdr:row>
          <xdr:rowOff>28575</xdr:rowOff>
        </xdr:from>
        <xdr:to>
          <xdr:col>4</xdr:col>
          <xdr:colOff>914400</xdr:colOff>
          <xdr:row>46</xdr:row>
          <xdr:rowOff>247650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47</xdr:row>
          <xdr:rowOff>28575</xdr:rowOff>
        </xdr:from>
        <xdr:to>
          <xdr:col>4</xdr:col>
          <xdr:colOff>914400</xdr:colOff>
          <xdr:row>47</xdr:row>
          <xdr:rowOff>247650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48</xdr:row>
          <xdr:rowOff>28575</xdr:rowOff>
        </xdr:from>
        <xdr:to>
          <xdr:col>4</xdr:col>
          <xdr:colOff>914400</xdr:colOff>
          <xdr:row>48</xdr:row>
          <xdr:rowOff>247650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49</xdr:row>
          <xdr:rowOff>28575</xdr:rowOff>
        </xdr:from>
        <xdr:to>
          <xdr:col>4</xdr:col>
          <xdr:colOff>914400</xdr:colOff>
          <xdr:row>49</xdr:row>
          <xdr:rowOff>247650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50</xdr:row>
          <xdr:rowOff>28575</xdr:rowOff>
        </xdr:from>
        <xdr:to>
          <xdr:col>4</xdr:col>
          <xdr:colOff>914400</xdr:colOff>
          <xdr:row>50</xdr:row>
          <xdr:rowOff>247650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51</xdr:row>
          <xdr:rowOff>28575</xdr:rowOff>
        </xdr:from>
        <xdr:to>
          <xdr:col>4</xdr:col>
          <xdr:colOff>914400</xdr:colOff>
          <xdr:row>51</xdr:row>
          <xdr:rowOff>247650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52</xdr:row>
          <xdr:rowOff>28575</xdr:rowOff>
        </xdr:from>
        <xdr:to>
          <xdr:col>4</xdr:col>
          <xdr:colOff>914400</xdr:colOff>
          <xdr:row>52</xdr:row>
          <xdr:rowOff>247650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28575</xdr:rowOff>
        </xdr:from>
        <xdr:to>
          <xdr:col>4</xdr:col>
          <xdr:colOff>914400</xdr:colOff>
          <xdr:row>22</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36</xdr:row>
          <xdr:rowOff>28575</xdr:rowOff>
        </xdr:from>
        <xdr:to>
          <xdr:col>4</xdr:col>
          <xdr:colOff>914400</xdr:colOff>
          <xdr:row>37</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37</xdr:row>
          <xdr:rowOff>28575</xdr:rowOff>
        </xdr:from>
        <xdr:to>
          <xdr:col>4</xdr:col>
          <xdr:colOff>914400</xdr:colOff>
          <xdr:row>38</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738187</xdr:colOff>
      <xdr:row>6</xdr:row>
      <xdr:rowOff>47626</xdr:rowOff>
    </xdr:from>
    <xdr:to>
      <xdr:col>5</xdr:col>
      <xdr:colOff>35718</xdr:colOff>
      <xdr:row>6</xdr:row>
      <xdr:rowOff>311947</xdr:rowOff>
    </xdr:to>
    <xdr:sp macro="" textlink="">
      <xdr:nvSpPr>
        <xdr:cNvPr id="43" name="Arrow: Right 176">
          <a:extLst>
            <a:ext uri="{FF2B5EF4-FFF2-40B4-BE49-F238E27FC236}">
              <a16:creationId xmlns:a16="http://schemas.microsoft.com/office/drawing/2014/main" id="{00000000-0008-0000-0100-0000B1000000}"/>
            </a:ext>
          </a:extLst>
        </xdr:cNvPr>
        <xdr:cNvSpPr/>
      </xdr:nvSpPr>
      <xdr:spPr>
        <a:xfrm rot="10800000">
          <a:off x="10346531" y="1905001"/>
          <a:ext cx="464343" cy="264321"/>
        </a:xfrm>
        <a:prstGeom prs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711994</xdr:colOff>
      <xdr:row>5</xdr:row>
      <xdr:rowOff>33337</xdr:rowOff>
    </xdr:from>
    <xdr:to>
      <xdr:col>5</xdr:col>
      <xdr:colOff>9525</xdr:colOff>
      <xdr:row>5</xdr:row>
      <xdr:rowOff>297658</xdr:rowOff>
    </xdr:to>
    <xdr:sp macro="" textlink="">
      <xdr:nvSpPr>
        <xdr:cNvPr id="44" name="Arrow: Right 176">
          <a:extLst>
            <a:ext uri="{FF2B5EF4-FFF2-40B4-BE49-F238E27FC236}">
              <a16:creationId xmlns:a16="http://schemas.microsoft.com/office/drawing/2014/main" id="{00000000-0008-0000-0100-0000B1000000}"/>
            </a:ext>
          </a:extLst>
        </xdr:cNvPr>
        <xdr:cNvSpPr/>
      </xdr:nvSpPr>
      <xdr:spPr>
        <a:xfrm rot="10800000">
          <a:off x="10320338" y="1533525"/>
          <a:ext cx="464343" cy="264321"/>
        </a:xfrm>
        <a:prstGeom prs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485775</xdr:colOff>
          <xdr:row>38</xdr:row>
          <xdr:rowOff>38100</xdr:rowOff>
        </xdr:from>
        <xdr:to>
          <xdr:col>4</xdr:col>
          <xdr:colOff>914400</xdr:colOff>
          <xdr:row>39</xdr:row>
          <xdr:rowOff>9525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39</xdr:row>
          <xdr:rowOff>28575</xdr:rowOff>
        </xdr:from>
        <xdr:to>
          <xdr:col>4</xdr:col>
          <xdr:colOff>914400</xdr:colOff>
          <xdr:row>40</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914400</xdr:colOff>
          <xdr:row>41</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41</xdr:row>
          <xdr:rowOff>28575</xdr:rowOff>
        </xdr:from>
        <xdr:to>
          <xdr:col>4</xdr:col>
          <xdr:colOff>914400</xdr:colOff>
          <xdr:row>42</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20</xdr:row>
          <xdr:rowOff>28575</xdr:rowOff>
        </xdr:from>
        <xdr:to>
          <xdr:col>4</xdr:col>
          <xdr:colOff>914400</xdr:colOff>
          <xdr:row>21</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27</xdr:row>
          <xdr:rowOff>9525</xdr:rowOff>
        </xdr:from>
        <xdr:to>
          <xdr:col>4</xdr:col>
          <xdr:colOff>904875</xdr:colOff>
          <xdr:row>27</xdr:row>
          <xdr:rowOff>238125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9525</xdr:rowOff>
        </xdr:from>
        <xdr:to>
          <xdr:col>4</xdr:col>
          <xdr:colOff>904875</xdr:colOff>
          <xdr:row>28</xdr:row>
          <xdr:rowOff>238125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29</xdr:row>
          <xdr:rowOff>9525</xdr:rowOff>
        </xdr:from>
        <xdr:to>
          <xdr:col>4</xdr:col>
          <xdr:colOff>904875</xdr:colOff>
          <xdr:row>29</xdr:row>
          <xdr:rowOff>238125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30</xdr:row>
          <xdr:rowOff>9525</xdr:rowOff>
        </xdr:from>
        <xdr:to>
          <xdr:col>4</xdr:col>
          <xdr:colOff>904875</xdr:colOff>
          <xdr:row>30</xdr:row>
          <xdr:rowOff>238125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B5:AB8" totalsRowShown="0" headerRowDxfId="49" dataDxfId="48" tableBorderDxfId="47">
  <autoFilter ref="AB5:AB8" xr:uid="{00000000-0009-0000-0100-000003000000}"/>
  <tableColumns count="1">
    <tableColumn id="1" xr3:uid="{00000000-0010-0000-0000-000001000000}" name="Roll-in Measures selected as backup to mandatory measures:" dataDxfId="4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B13:AB18" totalsRowShown="0">
  <autoFilter ref="AB13:AB18" xr:uid="{00000000-0009-0000-0100-000004000000}"/>
  <tableColumns count="1">
    <tableColumn id="1" xr3:uid="{00000000-0010-0000-0100-000001000000}" name="Structural Measure Status"/>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FDDB8B-700F-4C69-AA09-A765505C61C5}" name="Table1" displayName="Table1" ref="AB21:AB24" totalsRowShown="0">
  <autoFilter ref="AB21:AB24" xr:uid="{7CFDDB8B-700F-4C69-AA09-A765505C61C5}"/>
  <tableColumns count="1">
    <tableColumn id="1" xr3:uid="{B521EE73-F020-4A30-94FA-489805FD6BA2}" name="Measure Typ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CPF_primarycarepaymentreform@state.co.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X373"/>
  <sheetViews>
    <sheetView tabSelected="1" zoomScale="90" zoomScaleNormal="90" workbookViewId="0">
      <selection activeCell="B16" sqref="B16:L16"/>
    </sheetView>
  </sheetViews>
  <sheetFormatPr defaultRowHeight="14.25"/>
  <cols>
    <col min="1" max="1" width="9.140625" style="134"/>
    <col min="2" max="2" width="30.7109375" style="134" customWidth="1"/>
    <col min="3" max="3" width="19" style="132" customWidth="1"/>
    <col min="4" max="10" width="9.140625" style="132"/>
    <col min="11" max="11" width="12.140625" style="132" customWidth="1"/>
    <col min="12" max="12" width="26.7109375" style="132" customWidth="1"/>
    <col min="13" max="22" width="9.140625" style="132"/>
    <col min="23" max="24" width="9.140625" style="133"/>
    <col min="25" max="16384" width="9.140625" style="134"/>
  </cols>
  <sheetData>
    <row r="1" spans="2:12" s="132" customFormat="1" ht="28.5" customHeight="1" thickBot="1">
      <c r="B1" s="439" t="s">
        <v>437</v>
      </c>
      <c r="C1" s="440"/>
      <c r="D1" s="440"/>
      <c r="E1" s="440"/>
      <c r="F1" s="440"/>
      <c r="G1" s="440"/>
      <c r="H1" s="440"/>
      <c r="I1" s="440"/>
      <c r="J1" s="440"/>
      <c r="K1" s="440"/>
      <c r="L1" s="441"/>
    </row>
    <row r="2" spans="2:12" s="132" customFormat="1" ht="15.75" customHeight="1">
      <c r="B2" s="442"/>
      <c r="C2" s="443"/>
      <c r="D2" s="443"/>
      <c r="E2" s="443"/>
      <c r="F2" s="443"/>
      <c r="G2" s="443"/>
      <c r="H2" s="443"/>
      <c r="I2" s="443"/>
      <c r="J2" s="443"/>
      <c r="K2" s="443"/>
      <c r="L2" s="444"/>
    </row>
    <row r="3" spans="2:12" s="132" customFormat="1" ht="45.75" customHeight="1">
      <c r="B3" s="445" t="s">
        <v>511</v>
      </c>
      <c r="C3" s="446"/>
      <c r="D3" s="446"/>
      <c r="E3" s="446"/>
      <c r="F3" s="446"/>
      <c r="G3" s="446"/>
      <c r="H3" s="446"/>
      <c r="I3" s="446"/>
      <c r="J3" s="446"/>
      <c r="K3" s="446"/>
      <c r="L3" s="447"/>
    </row>
    <row r="4" spans="2:12" s="132" customFormat="1">
      <c r="B4" s="448"/>
      <c r="C4" s="449"/>
      <c r="D4" s="449"/>
      <c r="E4" s="449"/>
      <c r="F4" s="449"/>
      <c r="G4" s="449"/>
      <c r="H4" s="449"/>
      <c r="I4" s="449"/>
      <c r="J4" s="449"/>
      <c r="K4" s="449"/>
      <c r="L4" s="450"/>
    </row>
    <row r="5" spans="2:12" s="132" customFormat="1" ht="15.75" thickBot="1">
      <c r="B5" s="451" t="s">
        <v>16</v>
      </c>
      <c r="C5" s="452"/>
      <c r="D5" s="452"/>
      <c r="E5" s="452"/>
      <c r="F5" s="452"/>
      <c r="G5" s="452"/>
      <c r="H5" s="452"/>
      <c r="I5" s="452"/>
      <c r="J5" s="452"/>
      <c r="K5" s="452"/>
      <c r="L5" s="453"/>
    </row>
    <row r="6" spans="2:12" s="132" customFormat="1" ht="60.75" customHeight="1">
      <c r="B6" s="404" t="s">
        <v>438</v>
      </c>
      <c r="C6" s="405"/>
      <c r="D6" s="405"/>
      <c r="E6" s="405"/>
      <c r="F6" s="405"/>
      <c r="G6" s="405"/>
      <c r="H6" s="405"/>
      <c r="I6" s="405"/>
      <c r="J6" s="405"/>
      <c r="K6" s="405"/>
      <c r="L6" s="406"/>
    </row>
    <row r="7" spans="2:12" s="132" customFormat="1" ht="33.75" customHeight="1">
      <c r="B7" s="416" t="s">
        <v>577</v>
      </c>
      <c r="C7" s="417"/>
      <c r="D7" s="417"/>
      <c r="E7" s="417"/>
      <c r="F7" s="417"/>
      <c r="G7" s="417"/>
      <c r="H7" s="417"/>
      <c r="I7" s="417"/>
      <c r="J7" s="417"/>
      <c r="K7" s="417"/>
      <c r="L7" s="418"/>
    </row>
    <row r="8" spans="2:12" s="132" customFormat="1">
      <c r="B8" s="493" t="s">
        <v>552</v>
      </c>
      <c r="C8" s="494"/>
      <c r="D8" s="494"/>
      <c r="E8" s="494"/>
      <c r="F8" s="494"/>
      <c r="G8" s="494"/>
      <c r="H8" s="494"/>
      <c r="I8" s="494"/>
      <c r="J8" s="494"/>
      <c r="K8" s="494"/>
      <c r="L8" s="495"/>
    </row>
    <row r="9" spans="2:12" s="132" customFormat="1" ht="15">
      <c r="B9" s="496" t="s">
        <v>585</v>
      </c>
      <c r="C9" s="497"/>
      <c r="D9" s="497"/>
      <c r="E9" s="497"/>
      <c r="F9" s="497"/>
      <c r="G9" s="497"/>
      <c r="H9" s="497"/>
      <c r="I9" s="497"/>
      <c r="J9" s="497"/>
      <c r="K9" s="497"/>
      <c r="L9" s="498"/>
    </row>
    <row r="10" spans="2:12" s="132" customFormat="1" ht="15">
      <c r="B10" s="496" t="s">
        <v>584</v>
      </c>
      <c r="C10" s="497"/>
      <c r="D10" s="497"/>
      <c r="E10" s="497"/>
      <c r="F10" s="497"/>
      <c r="G10" s="497"/>
      <c r="H10" s="497"/>
      <c r="I10" s="497"/>
      <c r="J10" s="497"/>
      <c r="K10" s="497"/>
      <c r="L10" s="498"/>
    </row>
    <row r="11" spans="2:12" s="132" customFormat="1" ht="15">
      <c r="B11" s="413" t="s">
        <v>47</v>
      </c>
      <c r="C11" s="414"/>
      <c r="D11" s="414"/>
      <c r="E11" s="414"/>
      <c r="F11" s="414"/>
      <c r="G11" s="414"/>
      <c r="H11" s="414"/>
      <c r="I11" s="414"/>
      <c r="J11" s="414"/>
      <c r="K11" s="414"/>
      <c r="L11" s="415"/>
    </row>
    <row r="12" spans="2:12" s="132" customFormat="1" ht="42" customHeight="1">
      <c r="B12" s="416" t="s">
        <v>551</v>
      </c>
      <c r="C12" s="417"/>
      <c r="D12" s="417"/>
      <c r="E12" s="417"/>
      <c r="F12" s="417"/>
      <c r="G12" s="417"/>
      <c r="H12" s="417"/>
      <c r="I12" s="417"/>
      <c r="J12" s="417"/>
      <c r="K12" s="417"/>
      <c r="L12" s="418"/>
    </row>
    <row r="13" spans="2:12" s="132" customFormat="1">
      <c r="B13" s="413" t="s">
        <v>578</v>
      </c>
      <c r="C13" s="414"/>
      <c r="D13" s="414"/>
      <c r="E13" s="414"/>
      <c r="F13" s="414"/>
      <c r="G13" s="414"/>
      <c r="H13" s="414"/>
      <c r="I13" s="414"/>
      <c r="J13" s="414"/>
      <c r="K13" s="414"/>
      <c r="L13" s="415"/>
    </row>
    <row r="14" spans="2:12" s="132" customFormat="1">
      <c r="B14" s="410" t="s">
        <v>507</v>
      </c>
      <c r="C14" s="411"/>
      <c r="D14" s="411"/>
      <c r="E14" s="411"/>
      <c r="F14" s="411"/>
      <c r="G14" s="411"/>
      <c r="H14" s="411"/>
      <c r="I14" s="411"/>
      <c r="J14" s="411"/>
      <c r="K14" s="411"/>
      <c r="L14" s="412"/>
    </row>
    <row r="15" spans="2:12" s="132" customFormat="1">
      <c r="B15" s="410" t="s">
        <v>69</v>
      </c>
      <c r="C15" s="411"/>
      <c r="D15" s="411"/>
      <c r="E15" s="411"/>
      <c r="F15" s="411"/>
      <c r="G15" s="411"/>
      <c r="H15" s="411"/>
      <c r="I15" s="411"/>
      <c r="J15" s="411"/>
      <c r="K15" s="411"/>
      <c r="L15" s="412"/>
    </row>
    <row r="16" spans="2:12" s="132" customFormat="1" ht="15">
      <c r="B16" s="413" t="s">
        <v>385</v>
      </c>
      <c r="C16" s="414"/>
      <c r="D16" s="414"/>
      <c r="E16" s="414"/>
      <c r="F16" s="414"/>
      <c r="G16" s="414"/>
      <c r="H16" s="414"/>
      <c r="I16" s="414"/>
      <c r="J16" s="414"/>
      <c r="K16" s="414"/>
      <c r="L16" s="415"/>
    </row>
    <row r="17" spans="2:16" s="132" customFormat="1">
      <c r="B17" s="413" t="s">
        <v>506</v>
      </c>
      <c r="C17" s="414"/>
      <c r="D17" s="414"/>
      <c r="E17" s="414"/>
      <c r="F17" s="414"/>
      <c r="G17" s="414"/>
      <c r="H17" s="414"/>
      <c r="I17" s="414"/>
      <c r="J17" s="414"/>
      <c r="K17" s="414"/>
      <c r="L17" s="415"/>
    </row>
    <row r="18" spans="2:16" s="132" customFormat="1">
      <c r="B18" s="413" t="s">
        <v>508</v>
      </c>
      <c r="C18" s="414"/>
      <c r="D18" s="414"/>
      <c r="E18" s="414"/>
      <c r="F18" s="414"/>
      <c r="G18" s="414"/>
      <c r="H18" s="414"/>
      <c r="I18" s="414"/>
      <c r="J18" s="414"/>
      <c r="K18" s="414"/>
      <c r="L18" s="415"/>
    </row>
    <row r="19" spans="2:16" s="132" customFormat="1">
      <c r="B19" s="413" t="s">
        <v>60</v>
      </c>
      <c r="C19" s="414"/>
      <c r="D19" s="414"/>
      <c r="E19" s="414"/>
      <c r="F19" s="414"/>
      <c r="G19" s="414"/>
      <c r="H19" s="414"/>
      <c r="I19" s="414"/>
      <c r="J19" s="414"/>
      <c r="K19" s="414"/>
      <c r="L19" s="415"/>
    </row>
    <row r="20" spans="2:16" s="132" customFormat="1">
      <c r="B20" s="140"/>
      <c r="C20" s="141"/>
      <c r="D20" s="141"/>
      <c r="E20" s="141"/>
      <c r="F20" s="141"/>
      <c r="G20" s="141"/>
      <c r="H20" s="141"/>
      <c r="I20" s="141"/>
      <c r="J20" s="141"/>
      <c r="K20" s="141"/>
      <c r="L20" s="142"/>
    </row>
    <row r="21" spans="2:16" s="132" customFormat="1" ht="15">
      <c r="B21" s="419" t="s">
        <v>441</v>
      </c>
      <c r="C21" s="420"/>
      <c r="D21" s="420"/>
      <c r="E21" s="420"/>
      <c r="F21" s="420"/>
      <c r="G21" s="420"/>
      <c r="H21" s="420"/>
      <c r="I21" s="420"/>
      <c r="J21" s="420"/>
      <c r="K21" s="420"/>
      <c r="L21" s="421"/>
    </row>
    <row r="22" spans="2:16" s="132" customFormat="1">
      <c r="B22" s="413"/>
      <c r="C22" s="414"/>
      <c r="D22" s="414"/>
      <c r="E22" s="414"/>
      <c r="F22" s="414"/>
      <c r="G22" s="414"/>
      <c r="H22" s="414"/>
      <c r="I22" s="414"/>
      <c r="J22" s="414"/>
      <c r="K22" s="414"/>
      <c r="L22" s="415"/>
    </row>
    <row r="23" spans="2:16" s="132" customFormat="1" ht="15">
      <c r="B23" s="505" t="s">
        <v>48</v>
      </c>
      <c r="C23" s="506"/>
      <c r="D23" s="506"/>
      <c r="E23" s="506"/>
      <c r="F23" s="506"/>
      <c r="G23" s="506"/>
      <c r="H23" s="506"/>
      <c r="I23" s="506"/>
      <c r="J23" s="506"/>
      <c r="K23" s="506"/>
      <c r="L23" s="507"/>
    </row>
    <row r="24" spans="2:16" s="132" customFormat="1" ht="26.25" customHeight="1">
      <c r="B24" s="458" t="s">
        <v>512</v>
      </c>
      <c r="C24" s="459"/>
      <c r="D24" s="459"/>
      <c r="E24" s="459"/>
      <c r="F24" s="459"/>
      <c r="G24" s="459"/>
      <c r="H24" s="459"/>
      <c r="I24" s="459"/>
      <c r="J24" s="459"/>
      <c r="K24" s="459"/>
      <c r="L24" s="460"/>
    </row>
    <row r="25" spans="2:16" s="132" customFormat="1" ht="20.25">
      <c r="B25" s="433" t="s">
        <v>17</v>
      </c>
      <c r="C25" s="434"/>
      <c r="D25" s="434"/>
      <c r="E25" s="434"/>
      <c r="F25" s="434"/>
      <c r="G25" s="434"/>
      <c r="H25" s="434"/>
      <c r="I25" s="434"/>
      <c r="J25" s="434"/>
      <c r="K25" s="434"/>
      <c r="L25" s="435"/>
    </row>
    <row r="26" spans="2:16" s="132" customFormat="1" ht="15.75">
      <c r="B26" s="436" t="s">
        <v>83</v>
      </c>
      <c r="C26" s="437"/>
      <c r="D26" s="437"/>
      <c r="E26" s="437"/>
      <c r="F26" s="437"/>
      <c r="G26" s="437"/>
      <c r="H26" s="437"/>
      <c r="I26" s="437"/>
      <c r="J26" s="437"/>
      <c r="K26" s="437"/>
      <c r="L26" s="438"/>
    </row>
    <row r="27" spans="2:16" s="132" customFormat="1" ht="15.75" thickBot="1">
      <c r="B27" s="427" t="s">
        <v>84</v>
      </c>
      <c r="C27" s="428"/>
      <c r="D27" s="428"/>
      <c r="E27" s="428"/>
      <c r="F27" s="428"/>
      <c r="G27" s="428"/>
      <c r="H27" s="428"/>
      <c r="I27" s="428"/>
      <c r="J27" s="428"/>
      <c r="K27" s="428"/>
      <c r="L27" s="429"/>
    </row>
    <row r="28" spans="2:16" s="132" customFormat="1" ht="15">
      <c r="B28" s="430" t="s">
        <v>370</v>
      </c>
      <c r="C28" s="431"/>
      <c r="D28" s="431"/>
      <c r="E28" s="431"/>
      <c r="F28" s="431"/>
      <c r="G28" s="431"/>
      <c r="H28" s="431"/>
      <c r="I28" s="431"/>
      <c r="J28" s="431"/>
      <c r="K28" s="431"/>
      <c r="L28" s="432"/>
    </row>
    <row r="29" spans="2:16" s="132" customFormat="1" ht="47.25" customHeight="1">
      <c r="B29" s="422" t="s">
        <v>404</v>
      </c>
      <c r="C29" s="425"/>
      <c r="D29" s="425"/>
      <c r="E29" s="425"/>
      <c r="F29" s="425"/>
      <c r="G29" s="425"/>
      <c r="H29" s="425"/>
      <c r="I29" s="425"/>
      <c r="J29" s="425"/>
      <c r="K29" s="425"/>
      <c r="L29" s="426"/>
      <c r="P29" s="189"/>
    </row>
    <row r="30" spans="2:16" s="132" customFormat="1" ht="39" customHeight="1">
      <c r="B30" s="422" t="s">
        <v>405</v>
      </c>
      <c r="C30" s="425"/>
      <c r="D30" s="425"/>
      <c r="E30" s="425"/>
      <c r="F30" s="425"/>
      <c r="G30" s="425"/>
      <c r="H30" s="425"/>
      <c r="I30" s="425"/>
      <c r="J30" s="425"/>
      <c r="K30" s="425"/>
      <c r="L30" s="426"/>
      <c r="P30" s="189"/>
    </row>
    <row r="31" spans="2:16" s="132" customFormat="1">
      <c r="B31" s="508" t="s">
        <v>59</v>
      </c>
      <c r="C31" s="509"/>
      <c r="D31" s="509"/>
      <c r="E31" s="509"/>
      <c r="F31" s="509"/>
      <c r="G31" s="509"/>
      <c r="H31" s="509"/>
      <c r="I31" s="509"/>
      <c r="J31" s="509"/>
      <c r="K31" s="509"/>
      <c r="L31" s="510"/>
    </row>
    <row r="32" spans="2:16" s="132" customFormat="1">
      <c r="B32" s="422" t="s">
        <v>70</v>
      </c>
      <c r="C32" s="423"/>
      <c r="D32" s="423"/>
      <c r="E32" s="423"/>
      <c r="F32" s="423"/>
      <c r="G32" s="423"/>
      <c r="H32" s="423"/>
      <c r="I32" s="423"/>
      <c r="J32" s="423"/>
      <c r="K32" s="423"/>
      <c r="L32" s="424"/>
    </row>
    <row r="33" spans="2:12" s="132" customFormat="1">
      <c r="B33" s="422" t="s">
        <v>71</v>
      </c>
      <c r="C33" s="423"/>
      <c r="D33" s="423"/>
      <c r="E33" s="423"/>
      <c r="F33" s="423"/>
      <c r="G33" s="423"/>
      <c r="H33" s="423"/>
      <c r="I33" s="423"/>
      <c r="J33" s="423"/>
      <c r="K33" s="423"/>
      <c r="L33" s="424"/>
    </row>
    <row r="34" spans="2:12" s="132" customFormat="1" ht="40.5" customHeight="1">
      <c r="B34" s="422" t="s">
        <v>72</v>
      </c>
      <c r="C34" s="423"/>
      <c r="D34" s="423"/>
      <c r="E34" s="423"/>
      <c r="F34" s="423"/>
      <c r="G34" s="423"/>
      <c r="H34" s="423"/>
      <c r="I34" s="423"/>
      <c r="J34" s="423"/>
      <c r="K34" s="423"/>
      <c r="L34" s="424"/>
    </row>
    <row r="35" spans="2:12" s="132" customFormat="1" ht="15">
      <c r="B35" s="502" t="s">
        <v>73</v>
      </c>
      <c r="C35" s="503"/>
      <c r="D35" s="503"/>
      <c r="E35" s="503"/>
      <c r="F35" s="503"/>
      <c r="G35" s="503"/>
      <c r="H35" s="503"/>
      <c r="I35" s="503"/>
      <c r="J35" s="503"/>
      <c r="K35" s="503"/>
      <c r="L35" s="504"/>
    </row>
    <row r="36" spans="2:12" s="132" customFormat="1" ht="15">
      <c r="B36" s="361"/>
      <c r="C36" s="362"/>
      <c r="D36" s="362"/>
      <c r="E36" s="362"/>
      <c r="F36" s="362"/>
      <c r="G36" s="362"/>
      <c r="H36" s="362"/>
      <c r="I36" s="362"/>
      <c r="J36" s="362"/>
      <c r="K36" s="362"/>
      <c r="L36" s="363"/>
    </row>
    <row r="37" spans="2:12" s="132" customFormat="1" ht="45" customHeight="1">
      <c r="B37" s="364"/>
      <c r="C37" s="365"/>
      <c r="D37" s="462" t="s">
        <v>514</v>
      </c>
      <c r="E37" s="462"/>
      <c r="F37" s="462"/>
      <c r="G37" s="462"/>
      <c r="H37" s="462"/>
      <c r="I37" s="462"/>
      <c r="J37" s="365"/>
      <c r="K37" s="365"/>
      <c r="L37" s="366"/>
    </row>
    <row r="38" spans="2:12" s="132" customFormat="1" ht="15">
      <c r="B38" s="361"/>
      <c r="C38" s="362"/>
      <c r="D38" s="362"/>
      <c r="E38" s="362"/>
      <c r="F38" s="362"/>
      <c r="G38" s="362"/>
      <c r="H38" s="362"/>
      <c r="I38" s="362"/>
      <c r="J38" s="362"/>
      <c r="K38" s="362"/>
      <c r="L38" s="363"/>
    </row>
    <row r="39" spans="2:12" s="132" customFormat="1" ht="15.75" thickBot="1">
      <c r="B39" s="467" t="s">
        <v>56</v>
      </c>
      <c r="C39" s="468"/>
      <c r="D39" s="468"/>
      <c r="E39" s="468"/>
      <c r="F39" s="468"/>
      <c r="G39" s="468"/>
      <c r="H39" s="468"/>
      <c r="I39" s="468"/>
      <c r="J39" s="468"/>
      <c r="K39" s="468"/>
      <c r="L39" s="469"/>
    </row>
    <row r="40" spans="2:12" s="132" customFormat="1" ht="14.25" customHeight="1">
      <c r="B40" s="430" t="s">
        <v>439</v>
      </c>
      <c r="C40" s="431"/>
      <c r="D40" s="431"/>
      <c r="E40" s="431"/>
      <c r="F40" s="431"/>
      <c r="G40" s="431"/>
      <c r="H40" s="431"/>
      <c r="I40" s="431"/>
      <c r="J40" s="431"/>
      <c r="K40" s="431"/>
      <c r="L40" s="432"/>
    </row>
    <row r="41" spans="2:12" s="132" customFormat="1">
      <c r="B41" s="407" t="s">
        <v>418</v>
      </c>
      <c r="C41" s="457"/>
      <c r="D41" s="457"/>
      <c r="E41" s="457"/>
      <c r="F41" s="457"/>
      <c r="G41" s="457"/>
      <c r="H41" s="457"/>
      <c r="I41" s="457"/>
      <c r="J41" s="457"/>
      <c r="K41" s="457"/>
      <c r="L41" s="409"/>
    </row>
    <row r="42" spans="2:12" s="132" customFormat="1">
      <c r="B42" s="407" t="s">
        <v>419</v>
      </c>
      <c r="C42" s="408"/>
      <c r="D42" s="408"/>
      <c r="E42" s="408"/>
      <c r="F42" s="408"/>
      <c r="G42" s="408"/>
      <c r="H42" s="408"/>
      <c r="I42" s="408"/>
      <c r="J42" s="408"/>
      <c r="K42" s="408"/>
      <c r="L42" s="409"/>
    </row>
    <row r="43" spans="2:12" s="132" customFormat="1">
      <c r="B43" s="407" t="s">
        <v>86</v>
      </c>
      <c r="C43" s="408"/>
      <c r="D43" s="408"/>
      <c r="E43" s="408"/>
      <c r="F43" s="408"/>
      <c r="G43" s="408"/>
      <c r="H43" s="408"/>
      <c r="I43" s="408"/>
      <c r="J43" s="408"/>
      <c r="K43" s="408"/>
      <c r="L43" s="409"/>
    </row>
    <row r="44" spans="2:12" s="132" customFormat="1">
      <c r="B44" s="290"/>
      <c r="C44" s="291"/>
      <c r="D44" s="291"/>
      <c r="E44" s="291"/>
      <c r="F44" s="291"/>
      <c r="G44" s="291"/>
      <c r="H44" s="291"/>
      <c r="I44" s="291"/>
      <c r="J44" s="291"/>
      <c r="K44" s="291"/>
      <c r="L44" s="292"/>
    </row>
    <row r="45" spans="2:12" s="132" customFormat="1" ht="75" customHeight="1">
      <c r="B45" s="3"/>
      <c r="C45" s="359"/>
      <c r="D45" s="461" t="s">
        <v>513</v>
      </c>
      <c r="E45" s="461"/>
      <c r="F45" s="461"/>
      <c r="G45" s="461"/>
      <c r="H45" s="461"/>
      <c r="I45" s="461"/>
      <c r="J45" s="359"/>
      <c r="K45" s="359"/>
      <c r="L45" s="360"/>
    </row>
    <row r="46" spans="2:12" s="132" customFormat="1">
      <c r="B46" s="357"/>
      <c r="C46" s="356"/>
      <c r="D46" s="356"/>
      <c r="E46" s="356"/>
      <c r="F46" s="356"/>
      <c r="G46" s="356"/>
      <c r="H46" s="356"/>
      <c r="I46" s="356"/>
      <c r="J46" s="356"/>
      <c r="K46" s="356"/>
      <c r="L46" s="358"/>
    </row>
    <row r="47" spans="2:12" s="132" customFormat="1" ht="15.75">
      <c r="B47" s="479" t="s">
        <v>57</v>
      </c>
      <c r="C47" s="480"/>
      <c r="D47" s="480"/>
      <c r="E47" s="480"/>
      <c r="F47" s="480"/>
      <c r="G47" s="480"/>
      <c r="H47" s="480"/>
      <c r="I47" s="480"/>
      <c r="J47" s="480"/>
      <c r="K47" s="480"/>
      <c r="L47" s="481"/>
    </row>
    <row r="48" spans="2:12" s="132" customFormat="1" ht="15.75" thickBot="1">
      <c r="B48" s="454" t="s">
        <v>74</v>
      </c>
      <c r="C48" s="455"/>
      <c r="D48" s="455"/>
      <c r="E48" s="455"/>
      <c r="F48" s="455"/>
      <c r="G48" s="455"/>
      <c r="H48" s="455"/>
      <c r="I48" s="455"/>
      <c r="J48" s="455"/>
      <c r="K48" s="455"/>
      <c r="L48" s="456"/>
    </row>
    <row r="49" spans="2:12" s="132" customFormat="1" ht="46.5" customHeight="1">
      <c r="B49" s="470" t="s">
        <v>510</v>
      </c>
      <c r="C49" s="471"/>
      <c r="D49" s="471"/>
      <c r="E49" s="471"/>
      <c r="F49" s="471"/>
      <c r="G49" s="471"/>
      <c r="H49" s="471"/>
      <c r="I49" s="471"/>
      <c r="J49" s="471"/>
      <c r="K49" s="471"/>
      <c r="L49" s="472"/>
    </row>
    <row r="50" spans="2:12" s="132" customFormat="1">
      <c r="B50" s="407" t="s">
        <v>387</v>
      </c>
      <c r="C50" s="457"/>
      <c r="D50" s="457"/>
      <c r="E50" s="457"/>
      <c r="F50" s="457"/>
      <c r="G50" s="457"/>
      <c r="H50" s="457"/>
      <c r="I50" s="457"/>
      <c r="J50" s="457"/>
      <c r="K50" s="457"/>
      <c r="L50" s="409"/>
    </row>
    <row r="51" spans="2:12" s="132" customFormat="1">
      <c r="B51" s="407" t="s">
        <v>388</v>
      </c>
      <c r="C51" s="457"/>
      <c r="D51" s="457"/>
      <c r="E51" s="457"/>
      <c r="F51" s="457"/>
      <c r="G51" s="457"/>
      <c r="H51" s="457"/>
      <c r="I51" s="457"/>
      <c r="J51" s="457"/>
      <c r="K51" s="457"/>
      <c r="L51" s="409"/>
    </row>
    <row r="52" spans="2:12" s="132" customFormat="1" ht="28.5" customHeight="1">
      <c r="B52" s="490" t="s">
        <v>440</v>
      </c>
      <c r="C52" s="491"/>
      <c r="D52" s="491"/>
      <c r="E52" s="491"/>
      <c r="F52" s="491"/>
      <c r="G52" s="491"/>
      <c r="H52" s="491"/>
      <c r="I52" s="491"/>
      <c r="J52" s="491"/>
      <c r="K52" s="491"/>
      <c r="L52" s="492"/>
    </row>
    <row r="53" spans="2:12" s="132" customFormat="1" ht="14.65" customHeight="1" thickBot="1">
      <c r="B53" s="473" t="s">
        <v>58</v>
      </c>
      <c r="C53" s="474"/>
      <c r="D53" s="474"/>
      <c r="E53" s="474"/>
      <c r="F53" s="474"/>
      <c r="G53" s="474"/>
      <c r="H53" s="474"/>
      <c r="I53" s="474"/>
      <c r="J53" s="474"/>
      <c r="K53" s="474"/>
      <c r="L53" s="475"/>
    </row>
    <row r="54" spans="2:12" s="132" customFormat="1" ht="54" customHeight="1">
      <c r="B54" s="407" t="s">
        <v>509</v>
      </c>
      <c r="C54" s="457"/>
      <c r="D54" s="457"/>
      <c r="E54" s="457"/>
      <c r="F54" s="457"/>
      <c r="G54" s="457"/>
      <c r="H54" s="457"/>
      <c r="I54" s="457"/>
      <c r="J54" s="457"/>
      <c r="K54" s="457"/>
      <c r="L54" s="409"/>
    </row>
    <row r="55" spans="2:12" s="132" customFormat="1" ht="33.75" customHeight="1" thickBot="1">
      <c r="B55" s="487" t="s">
        <v>371</v>
      </c>
      <c r="C55" s="488"/>
      <c r="D55" s="488"/>
      <c r="E55" s="488"/>
      <c r="F55" s="488"/>
      <c r="G55" s="488"/>
      <c r="H55" s="488"/>
      <c r="I55" s="488"/>
      <c r="J55" s="488"/>
      <c r="K55" s="488"/>
      <c r="L55" s="489"/>
    </row>
    <row r="56" spans="2:12" s="132" customFormat="1" ht="35.25" customHeight="1"/>
    <row r="57" spans="2:12" s="132" customFormat="1">
      <c r="B57" s="143"/>
    </row>
    <row r="58" spans="2:12" s="132" customFormat="1" ht="15">
      <c r="B58" s="476" t="s">
        <v>53</v>
      </c>
      <c r="C58" s="477"/>
      <c r="D58" s="477"/>
      <c r="E58" s="477"/>
      <c r="F58" s="477"/>
      <c r="G58" s="477"/>
      <c r="H58" s="477"/>
      <c r="I58" s="478"/>
      <c r="K58" s="197"/>
      <c r="L58" s="197"/>
    </row>
    <row r="59" spans="2:12" s="132" customFormat="1">
      <c r="B59" s="75" t="s">
        <v>50</v>
      </c>
      <c r="C59" s="121" t="s">
        <v>0</v>
      </c>
      <c r="D59" s="482" t="s">
        <v>1</v>
      </c>
      <c r="E59" s="482"/>
      <c r="F59" s="482"/>
      <c r="G59" s="482"/>
      <c r="H59" s="482"/>
      <c r="I59" s="483"/>
    </row>
    <row r="60" spans="2:12" s="132" customFormat="1" ht="53.25" customHeight="1">
      <c r="B60" s="76">
        <v>1</v>
      </c>
      <c r="C60" s="288" t="s">
        <v>52</v>
      </c>
      <c r="D60" s="484" t="s">
        <v>532</v>
      </c>
      <c r="E60" s="485"/>
      <c r="F60" s="485"/>
      <c r="G60" s="485"/>
      <c r="H60" s="485"/>
      <c r="I60" s="486"/>
    </row>
    <row r="61" spans="2:12" s="132" customFormat="1" ht="53.25" customHeight="1">
      <c r="B61" s="76">
        <v>2</v>
      </c>
      <c r="C61" s="288" t="s">
        <v>52</v>
      </c>
      <c r="D61" s="463" t="s">
        <v>516</v>
      </c>
      <c r="E61" s="465"/>
      <c r="F61" s="465"/>
      <c r="G61" s="465"/>
      <c r="H61" s="465"/>
      <c r="I61" s="466"/>
    </row>
    <row r="62" spans="2:12" s="132" customFormat="1" ht="53.25" customHeight="1" thickBot="1">
      <c r="B62" s="372">
        <v>3</v>
      </c>
      <c r="C62" s="371" t="s">
        <v>52</v>
      </c>
      <c r="D62" s="463" t="s">
        <v>531</v>
      </c>
      <c r="E62" s="465"/>
      <c r="F62" s="465"/>
      <c r="G62" s="465"/>
      <c r="H62" s="465"/>
      <c r="I62" s="466"/>
    </row>
    <row r="63" spans="2:12" s="132" customFormat="1" ht="15" customHeight="1">
      <c r="B63" s="499" t="s">
        <v>49</v>
      </c>
      <c r="C63" s="500"/>
      <c r="D63" s="500"/>
      <c r="E63" s="500"/>
      <c r="F63" s="500"/>
      <c r="G63" s="500"/>
      <c r="H63" s="500"/>
      <c r="I63" s="501"/>
      <c r="K63" s="197"/>
      <c r="L63" s="197"/>
    </row>
    <row r="64" spans="2:12" s="132" customFormat="1" ht="14.25" customHeight="1">
      <c r="B64" s="75" t="s">
        <v>50</v>
      </c>
      <c r="C64" s="121" t="s">
        <v>0</v>
      </c>
      <c r="D64" s="482" t="s">
        <v>1</v>
      </c>
      <c r="E64" s="482"/>
      <c r="F64" s="482"/>
      <c r="G64" s="482"/>
      <c r="H64" s="482"/>
      <c r="I64" s="483"/>
      <c r="K64" s="197"/>
      <c r="L64" s="197"/>
    </row>
    <row r="65" spans="2:12" s="132" customFormat="1" ht="74.25" customHeight="1">
      <c r="B65" s="76">
        <v>1</v>
      </c>
      <c r="C65" s="367" t="s">
        <v>51</v>
      </c>
      <c r="D65" s="463" t="s">
        <v>553</v>
      </c>
      <c r="E65" s="463"/>
      <c r="F65" s="463"/>
      <c r="G65" s="463"/>
      <c r="H65" s="463"/>
      <c r="I65" s="464"/>
      <c r="K65" s="197"/>
      <c r="L65" s="197"/>
    </row>
    <row r="66" spans="2:12" s="132" customFormat="1" ht="67.5" customHeight="1">
      <c r="B66" s="76">
        <v>2</v>
      </c>
      <c r="C66" s="77" t="s">
        <v>18</v>
      </c>
      <c r="D66" s="463" t="s">
        <v>554</v>
      </c>
      <c r="E66" s="465"/>
      <c r="F66" s="465"/>
      <c r="G66" s="465"/>
      <c r="H66" s="465"/>
      <c r="I66" s="466"/>
      <c r="K66" s="197"/>
      <c r="L66" s="197"/>
    </row>
    <row r="67" spans="2:12" s="132" customFormat="1" ht="51" customHeight="1">
      <c r="B67" s="78">
        <v>3</v>
      </c>
      <c r="C67" s="368" t="s">
        <v>52</v>
      </c>
      <c r="D67" s="463" t="s">
        <v>555</v>
      </c>
      <c r="E67" s="465"/>
      <c r="F67" s="465"/>
      <c r="G67" s="465"/>
      <c r="H67" s="465"/>
      <c r="I67" s="466"/>
      <c r="K67" s="197"/>
      <c r="L67" s="197"/>
    </row>
    <row r="68" spans="2:12" s="132" customFormat="1">
      <c r="B68" s="79" t="s">
        <v>517</v>
      </c>
    </row>
    <row r="69" spans="2:12" s="132" customFormat="1"/>
    <row r="70" spans="2:12" s="132" customFormat="1"/>
    <row r="71" spans="2:12" s="132" customFormat="1"/>
    <row r="72" spans="2:12" s="132" customFormat="1"/>
    <row r="73" spans="2:12" s="132" customFormat="1"/>
    <row r="74" spans="2:12" s="132" customFormat="1"/>
    <row r="75" spans="2:12" s="132" customFormat="1"/>
    <row r="76" spans="2:12" s="132" customFormat="1"/>
    <row r="77" spans="2:12" s="132" customFormat="1"/>
    <row r="78" spans="2:12" s="132" customFormat="1"/>
    <row r="79" spans="2:12" s="132" customFormat="1"/>
    <row r="80" spans="2:12"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row r="109" s="132" customFormat="1"/>
    <row r="110" s="132" customFormat="1"/>
    <row r="111" s="132" customFormat="1"/>
    <row r="112" s="132" customFormat="1"/>
    <row r="113" s="132" customFormat="1"/>
    <row r="114" s="132" customFormat="1"/>
    <row r="115" s="132" customFormat="1"/>
    <row r="116" s="132" customFormat="1"/>
    <row r="117" s="132" customFormat="1"/>
    <row r="118" s="132" customFormat="1"/>
    <row r="119" s="132" customFormat="1"/>
    <row r="120" s="132" customFormat="1"/>
    <row r="121" s="132" customFormat="1"/>
    <row r="122" s="132" customFormat="1"/>
    <row r="123" s="132" customFormat="1"/>
    <row r="124" s="132" customFormat="1"/>
    <row r="125" s="132" customFormat="1"/>
    <row r="126" s="132" customFormat="1"/>
    <row r="127" s="132" customFormat="1"/>
    <row r="128" s="132" customFormat="1"/>
    <row r="129" s="132" customFormat="1"/>
    <row r="130" s="132" customFormat="1"/>
    <row r="131" s="132" customFormat="1"/>
    <row r="132" s="132" customFormat="1"/>
    <row r="133" s="132" customFormat="1"/>
    <row r="134" s="132" customFormat="1"/>
    <row r="135" s="132" customFormat="1"/>
    <row r="136" s="132" customFormat="1"/>
    <row r="137" s="132" customFormat="1"/>
    <row r="138" s="132" customFormat="1"/>
    <row r="139" s="132" customFormat="1"/>
    <row r="140" s="132" customFormat="1"/>
    <row r="141" s="132" customFormat="1"/>
    <row r="142" s="132" customFormat="1"/>
    <row r="143" s="132" customFormat="1"/>
    <row r="144" s="132" customFormat="1"/>
    <row r="145" s="132" customFormat="1"/>
    <row r="146" s="132" customFormat="1"/>
    <row r="147" s="132" customFormat="1"/>
    <row r="148" s="132" customFormat="1"/>
    <row r="149" s="132" customFormat="1"/>
    <row r="150" s="132" customFormat="1"/>
    <row r="151" s="132" customFormat="1"/>
    <row r="152" s="132" customFormat="1"/>
    <row r="153" s="132" customFormat="1"/>
    <row r="154" s="132" customFormat="1"/>
    <row r="155" s="132" customFormat="1"/>
    <row r="156" s="132" customFormat="1"/>
    <row r="157" s="132" customFormat="1"/>
    <row r="158" s="132" customFormat="1"/>
    <row r="159" s="132" customFormat="1"/>
    <row r="160" s="132" customFormat="1"/>
    <row r="161" s="132" customFormat="1"/>
    <row r="162" s="132" customFormat="1"/>
    <row r="163" s="132" customFormat="1"/>
    <row r="164" s="132" customFormat="1"/>
    <row r="165" s="132" customFormat="1"/>
    <row r="166" s="132" customFormat="1"/>
    <row r="167" s="132" customFormat="1"/>
    <row r="168" s="132" customFormat="1"/>
    <row r="169" s="132" customFormat="1"/>
    <row r="170" s="132" customFormat="1"/>
    <row r="171" s="132" customFormat="1"/>
    <row r="172" s="132" customFormat="1"/>
    <row r="173" s="132" customFormat="1"/>
    <row r="174" s="132" customFormat="1"/>
    <row r="175" s="132" customFormat="1"/>
    <row r="176" s="132" customFormat="1"/>
    <row r="177" s="132" customFormat="1"/>
    <row r="178" s="132" customFormat="1"/>
    <row r="179" s="132" customFormat="1"/>
    <row r="180" s="132" customFormat="1"/>
    <row r="181" s="132" customFormat="1"/>
    <row r="182" s="132" customFormat="1"/>
    <row r="183" s="132" customFormat="1"/>
    <row r="184" s="132" customFormat="1"/>
    <row r="185" s="132" customFormat="1"/>
    <row r="186" s="132" customFormat="1"/>
    <row r="187" s="132" customFormat="1"/>
    <row r="188" s="132" customFormat="1"/>
    <row r="189" s="132" customFormat="1"/>
    <row r="190" s="132" customFormat="1"/>
    <row r="191" s="132" customFormat="1"/>
    <row r="192" s="132" customFormat="1"/>
    <row r="193" s="132" customFormat="1"/>
    <row r="194" s="132" customFormat="1"/>
    <row r="195" s="132" customFormat="1"/>
    <row r="196" s="132" customFormat="1"/>
    <row r="197" s="132" customFormat="1"/>
    <row r="198" s="132" customFormat="1"/>
    <row r="199" s="132" customFormat="1"/>
    <row r="200" s="132" customFormat="1"/>
    <row r="201" s="132" customFormat="1"/>
    <row r="202" s="132" customFormat="1"/>
    <row r="203" s="132" customFormat="1"/>
    <row r="204" s="132" customFormat="1"/>
    <row r="205" s="132" customFormat="1"/>
    <row r="206" s="132" customFormat="1"/>
    <row r="207" s="132" customFormat="1"/>
    <row r="208" s="132" customFormat="1"/>
    <row r="209" s="132" customFormat="1"/>
    <row r="210" s="132" customFormat="1"/>
    <row r="211" s="132" customFormat="1"/>
    <row r="212" s="132" customFormat="1"/>
    <row r="213" s="132" customFormat="1"/>
    <row r="214" s="132" customFormat="1"/>
    <row r="215" s="132" customFormat="1"/>
    <row r="216" s="132" customFormat="1"/>
    <row r="217" s="132" customFormat="1"/>
    <row r="218" s="132" customFormat="1"/>
    <row r="219" s="132" customFormat="1"/>
    <row r="220" s="132" customFormat="1"/>
    <row r="221" s="132" customFormat="1"/>
    <row r="222" s="132" customFormat="1"/>
    <row r="223" s="132" customFormat="1"/>
    <row r="224" s="132" customFormat="1"/>
    <row r="225" s="132" customFormat="1"/>
    <row r="226" s="132" customFormat="1"/>
    <row r="227" s="132" customFormat="1"/>
    <row r="228" s="132" customFormat="1"/>
    <row r="229" s="132" customFormat="1"/>
    <row r="230" s="132" customFormat="1"/>
    <row r="231" s="132" customFormat="1"/>
    <row r="232" s="132" customFormat="1"/>
    <row r="233" s="132" customFormat="1"/>
    <row r="234" s="132" customFormat="1"/>
    <row r="235" s="132" customFormat="1"/>
    <row r="236" s="132" customFormat="1"/>
    <row r="237" s="132" customFormat="1"/>
    <row r="238" s="132" customFormat="1"/>
    <row r="239" s="132" customFormat="1"/>
    <row r="240" s="132" customFormat="1"/>
    <row r="241" s="132" customFormat="1"/>
    <row r="242" s="132" customFormat="1"/>
    <row r="243" s="132" customFormat="1"/>
    <row r="244" s="132" customFormat="1"/>
    <row r="245" s="132" customFormat="1"/>
    <row r="246" s="132" customFormat="1"/>
    <row r="247" s="132" customFormat="1"/>
    <row r="248" s="132" customFormat="1"/>
    <row r="249" s="132" customFormat="1"/>
    <row r="250" s="132" customFormat="1"/>
    <row r="251" s="132" customFormat="1"/>
    <row r="252" s="132" customFormat="1"/>
    <row r="253" s="132" customFormat="1"/>
    <row r="254" s="132" customFormat="1"/>
    <row r="255" s="132" customFormat="1"/>
    <row r="256" s="132" customFormat="1"/>
    <row r="257" s="132" customFormat="1"/>
    <row r="258" s="132" customFormat="1"/>
    <row r="259" s="132" customFormat="1"/>
    <row r="260" s="132" customFormat="1"/>
    <row r="261" s="132" customFormat="1"/>
    <row r="262" s="132" customFormat="1"/>
    <row r="263" s="132" customFormat="1"/>
    <row r="264" s="132" customFormat="1"/>
    <row r="265" s="132" customFormat="1"/>
    <row r="266" s="132" customFormat="1"/>
    <row r="267" s="132" customFormat="1"/>
    <row r="268" s="132" customFormat="1"/>
    <row r="269" s="132" customFormat="1"/>
    <row r="270" s="132" customFormat="1"/>
    <row r="271" s="132" customFormat="1"/>
    <row r="272" s="132" customFormat="1"/>
    <row r="273" s="132" customFormat="1"/>
    <row r="274" s="132" customFormat="1"/>
    <row r="275" s="132" customFormat="1"/>
    <row r="276" s="132" customFormat="1"/>
    <row r="277" s="132" customFormat="1"/>
    <row r="278" s="132" customFormat="1"/>
    <row r="279" s="132" customFormat="1"/>
    <row r="280" s="132" customFormat="1"/>
    <row r="281" s="132" customFormat="1"/>
    <row r="282" s="132" customFormat="1"/>
    <row r="283" s="132" customFormat="1"/>
    <row r="284" s="132" customFormat="1"/>
    <row r="285" s="132" customFormat="1"/>
    <row r="286" s="132" customFormat="1"/>
    <row r="287" s="132" customFormat="1"/>
    <row r="288" s="132" customFormat="1"/>
    <row r="289" s="132" customFormat="1"/>
    <row r="290" s="132" customFormat="1"/>
    <row r="291" s="132" customFormat="1"/>
    <row r="292" s="132" customFormat="1"/>
    <row r="293" s="132" customFormat="1"/>
    <row r="294" s="132" customFormat="1"/>
    <row r="295" s="132" customFormat="1"/>
    <row r="296" s="132" customFormat="1"/>
    <row r="297" s="132" customFormat="1"/>
    <row r="298" s="132" customFormat="1"/>
    <row r="299" s="132" customFormat="1"/>
    <row r="300" s="132" customFormat="1"/>
    <row r="301" s="132" customFormat="1"/>
    <row r="302" s="132" customFormat="1"/>
    <row r="303" s="132" customFormat="1"/>
    <row r="304" s="132" customFormat="1"/>
    <row r="305" s="132" customFormat="1"/>
    <row r="306" s="132" customFormat="1"/>
    <row r="307" s="132" customFormat="1"/>
    <row r="308" s="132" customFormat="1"/>
    <row r="309" s="132" customFormat="1"/>
    <row r="310" s="132" customFormat="1"/>
    <row r="311" s="132" customFormat="1"/>
    <row r="312" s="132" customFormat="1"/>
    <row r="313" s="132" customFormat="1"/>
    <row r="314" s="132" customFormat="1"/>
    <row r="315" s="132" customFormat="1"/>
    <row r="316" s="132" customFormat="1"/>
    <row r="317" s="132" customFormat="1"/>
    <row r="318" s="132" customFormat="1"/>
    <row r="319" s="132" customFormat="1"/>
    <row r="320" s="132" customFormat="1"/>
    <row r="321" s="132" customFormat="1"/>
    <row r="322" s="132" customFormat="1"/>
    <row r="323" s="132" customFormat="1"/>
    <row r="324" s="132" customFormat="1"/>
    <row r="325" s="132" customFormat="1"/>
    <row r="326" s="132" customFormat="1"/>
    <row r="327" s="132" customFormat="1"/>
    <row r="328" s="132" customFormat="1"/>
    <row r="329" s="132" customFormat="1"/>
    <row r="330" s="132" customFormat="1"/>
    <row r="331" s="132" customFormat="1"/>
    <row r="332" s="132" customFormat="1"/>
    <row r="333" s="132" customFormat="1"/>
    <row r="334" s="132" customFormat="1"/>
    <row r="335" s="132" customFormat="1"/>
    <row r="336" s="132" customFormat="1"/>
    <row r="337" s="132" customFormat="1"/>
    <row r="338" s="132" customFormat="1"/>
    <row r="339" s="132" customFormat="1"/>
    <row r="340" s="132" customFormat="1"/>
    <row r="341" s="132" customFormat="1"/>
    <row r="342" s="132" customFormat="1"/>
    <row r="343" s="132" customFormat="1"/>
    <row r="344" s="132" customFormat="1"/>
    <row r="345" s="132" customFormat="1"/>
    <row r="346" s="132" customFormat="1"/>
    <row r="347" s="132" customFormat="1"/>
    <row r="348" s="132" customFormat="1"/>
    <row r="349" s="132" customFormat="1"/>
    <row r="350" s="132" customFormat="1"/>
    <row r="351" s="132" customFormat="1"/>
    <row r="352" s="132" customFormat="1"/>
    <row r="353" spans="1:2" s="132" customFormat="1"/>
    <row r="354" spans="1:2" s="132" customFormat="1"/>
    <row r="355" spans="1:2" s="132" customFormat="1"/>
    <row r="356" spans="1:2" s="132" customFormat="1"/>
    <row r="357" spans="1:2" s="132" customFormat="1"/>
    <row r="358" spans="1:2" s="132" customFormat="1"/>
    <row r="359" spans="1:2" s="132" customFormat="1"/>
    <row r="360" spans="1:2" s="132" customFormat="1"/>
    <row r="361" spans="1:2" s="132" customFormat="1"/>
    <row r="362" spans="1:2" s="132" customFormat="1"/>
    <row r="363" spans="1:2" s="132" customFormat="1"/>
    <row r="364" spans="1:2" s="132" customFormat="1"/>
    <row r="365" spans="1:2" s="132" customFormat="1"/>
    <row r="366" spans="1:2" s="132" customFormat="1"/>
    <row r="367" spans="1:2">
      <c r="A367" s="133"/>
      <c r="B367" s="132"/>
    </row>
    <row r="368" spans="1:2">
      <c r="A368" s="133"/>
      <c r="B368" s="133"/>
    </row>
    <row r="369" spans="1:2">
      <c r="A369" s="133"/>
      <c r="B369" s="133"/>
    </row>
    <row r="370" spans="1:2">
      <c r="A370" s="133"/>
      <c r="B370" s="133"/>
    </row>
    <row r="371" spans="1:2">
      <c r="A371" s="133"/>
      <c r="B371" s="133"/>
    </row>
    <row r="372" spans="1:2">
      <c r="A372" s="133"/>
      <c r="B372" s="133"/>
    </row>
    <row r="373" spans="1:2">
      <c r="B373" s="133"/>
    </row>
  </sheetData>
  <sheetProtection algorithmName="SHA-512" hashValue="Zk328zXm8nybHdJ9OtmkGUs/yWCyPabtwH+ziuI74BXDxRMLw4a/qE0EpFHsRYKd8e4pXsA8dM71odZVhCdJcw==" saltValue="PXokiORs/7yl2H9U76MT6A==" spinCount="100000" sheet="1" selectLockedCells="1"/>
  <mergeCells count="60">
    <mergeCell ref="B8:L8"/>
    <mergeCell ref="B9:L9"/>
    <mergeCell ref="B10:L10"/>
    <mergeCell ref="B63:I63"/>
    <mergeCell ref="D64:I64"/>
    <mergeCell ref="B35:L35"/>
    <mergeCell ref="B12:L12"/>
    <mergeCell ref="B54:L54"/>
    <mergeCell ref="B23:L23"/>
    <mergeCell ref="B17:L17"/>
    <mergeCell ref="B18:L18"/>
    <mergeCell ref="B19:L19"/>
    <mergeCell ref="B31:L31"/>
    <mergeCell ref="B32:L32"/>
    <mergeCell ref="B33:L33"/>
    <mergeCell ref="B30:L30"/>
    <mergeCell ref="D65:I65"/>
    <mergeCell ref="D66:I66"/>
    <mergeCell ref="D67:I67"/>
    <mergeCell ref="B41:L41"/>
    <mergeCell ref="B39:L39"/>
    <mergeCell ref="D61:I61"/>
    <mergeCell ref="D62:I62"/>
    <mergeCell ref="B40:L40"/>
    <mergeCell ref="B49:L49"/>
    <mergeCell ref="B53:L53"/>
    <mergeCell ref="B58:I58"/>
    <mergeCell ref="B47:L47"/>
    <mergeCell ref="D59:I59"/>
    <mergeCell ref="D60:I60"/>
    <mergeCell ref="B55:L55"/>
    <mergeCell ref="B52:L52"/>
    <mergeCell ref="B22:L22"/>
    <mergeCell ref="B48:L48"/>
    <mergeCell ref="B50:L50"/>
    <mergeCell ref="B51:L51"/>
    <mergeCell ref="B24:L24"/>
    <mergeCell ref="D45:I45"/>
    <mergeCell ref="D37:I37"/>
    <mergeCell ref="B1:L1"/>
    <mergeCell ref="B2:L2"/>
    <mergeCell ref="B3:L3"/>
    <mergeCell ref="B4:L4"/>
    <mergeCell ref="B5:L5"/>
    <mergeCell ref="B6:L6"/>
    <mergeCell ref="B43:L43"/>
    <mergeCell ref="B14:L14"/>
    <mergeCell ref="B16:L16"/>
    <mergeCell ref="B7:L7"/>
    <mergeCell ref="B11:L11"/>
    <mergeCell ref="B13:L13"/>
    <mergeCell ref="B15:L15"/>
    <mergeCell ref="B42:L42"/>
    <mergeCell ref="B21:L21"/>
    <mergeCell ref="B34:L34"/>
    <mergeCell ref="B29:L29"/>
    <mergeCell ref="B27:L27"/>
    <mergeCell ref="B28:L28"/>
    <mergeCell ref="B25:L25"/>
    <mergeCell ref="B26:L26"/>
  </mergeCells>
  <hyperlinks>
    <hyperlink ref="B24:L24" r:id="rId1" display="HCPF_primarycarepaymentreform@state.co.us" xr:uid="{185E766E-F40E-4B1D-B4B9-18F9EC51ABA9}"/>
  </hyperlinks>
  <pageMargins left="0.7" right="0.7" top="0.75" bottom="0.75" header="0.3" footer="0.3"/>
  <pageSetup scale="53" orientation="portrait" horizontalDpi="1200" verticalDpi="1200" r:id="rId2"/>
  <rowBreaks count="2" manualBreakCount="2">
    <brk id="24" max="12" man="1"/>
    <brk id="5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tint="0.59999389629810485"/>
  </sheetPr>
  <dimension ref="A1:X365"/>
  <sheetViews>
    <sheetView zoomScale="90" zoomScaleNormal="90" workbookViewId="0">
      <selection activeCell="G56" sqref="G56"/>
    </sheetView>
  </sheetViews>
  <sheetFormatPr defaultRowHeight="14.25"/>
  <cols>
    <col min="1" max="1" width="10.140625" style="134" customWidth="1"/>
    <col min="2" max="2" width="14.140625" style="134" customWidth="1"/>
    <col min="3" max="3" width="144.7109375" style="132" customWidth="1"/>
    <col min="4" max="4" width="9.140625" style="132"/>
    <col min="5" max="5" width="11.42578125" style="132" customWidth="1"/>
    <col min="6" max="6" width="14.140625" style="132" customWidth="1"/>
    <col min="7" max="22" width="9.140625" style="132"/>
    <col min="23" max="24" width="9.140625" style="133"/>
    <col min="25" max="16384" width="9.140625" style="134"/>
  </cols>
  <sheetData>
    <row r="1" spans="1:6" ht="28.5" customHeight="1" thickBot="1">
      <c r="A1" s="132"/>
      <c r="B1" s="439" t="s">
        <v>442</v>
      </c>
      <c r="C1" s="441"/>
    </row>
    <row r="2" spans="1:6" ht="15.75" customHeight="1">
      <c r="A2" s="132"/>
      <c r="B2" s="135"/>
      <c r="C2" s="136"/>
    </row>
    <row r="3" spans="1:6" ht="15.75" customHeight="1">
      <c r="A3" s="132"/>
      <c r="B3" s="522" t="s">
        <v>31</v>
      </c>
      <c r="C3" s="523"/>
    </row>
    <row r="4" spans="1:6" ht="15.75" customHeight="1" thickBot="1">
      <c r="A4" s="132"/>
      <c r="B4" s="522"/>
      <c r="C4" s="523"/>
    </row>
    <row r="5" spans="1:6" ht="15" customHeight="1">
      <c r="A5" s="132"/>
      <c r="B5" s="516"/>
      <c r="C5" s="517"/>
    </row>
    <row r="6" spans="1:6" ht="15" customHeight="1">
      <c r="A6" s="132"/>
      <c r="B6" s="518"/>
      <c r="C6" s="519"/>
    </row>
    <row r="7" spans="1:6" ht="15.75" customHeight="1" thickBot="1">
      <c r="A7" s="132"/>
      <c r="B7" s="520"/>
      <c r="C7" s="521"/>
    </row>
    <row r="8" spans="1:6">
      <c r="A8" s="132"/>
      <c r="B8" s="524"/>
      <c r="C8" s="525"/>
    </row>
    <row r="9" spans="1:6">
      <c r="A9" s="132"/>
      <c r="B9" s="522" t="s">
        <v>32</v>
      </c>
      <c r="C9" s="523"/>
    </row>
    <row r="10" spans="1:6" ht="15.75" customHeight="1" thickBot="1">
      <c r="A10" s="132"/>
      <c r="B10" s="522"/>
      <c r="C10" s="523"/>
      <c r="E10" s="511" t="s">
        <v>25</v>
      </c>
      <c r="F10" s="511"/>
    </row>
    <row r="11" spans="1:6" ht="15" customHeight="1">
      <c r="A11" s="132"/>
      <c r="B11" s="526"/>
      <c r="C11" s="527"/>
      <c r="E11" s="511"/>
      <c r="F11" s="511"/>
    </row>
    <row r="12" spans="1:6" ht="15" customHeight="1">
      <c r="A12" s="191">
        <v>89658710</v>
      </c>
      <c r="B12" s="528"/>
      <c r="C12" s="529"/>
      <c r="E12" s="511"/>
      <c r="F12" s="511"/>
    </row>
    <row r="13" spans="1:6" ht="15.75" customHeight="1" thickBot="1">
      <c r="A13" s="132"/>
      <c r="B13" s="530"/>
      <c r="C13" s="531"/>
      <c r="E13" s="511"/>
      <c r="F13" s="511"/>
    </row>
    <row r="14" spans="1:6" ht="15.75" customHeight="1">
      <c r="A14" s="132"/>
      <c r="B14" s="532"/>
      <c r="C14" s="533"/>
      <c r="E14" s="511"/>
      <c r="F14" s="511"/>
    </row>
    <row r="15" spans="1:6" ht="15.75" customHeight="1">
      <c r="A15" s="132"/>
      <c r="B15" s="522" t="s">
        <v>38</v>
      </c>
      <c r="C15" s="523"/>
    </row>
    <row r="16" spans="1:6" ht="15.75" customHeight="1">
      <c r="A16" s="132"/>
      <c r="B16" s="522"/>
      <c r="C16" s="523"/>
    </row>
    <row r="17" spans="1:3" ht="15" customHeight="1">
      <c r="A17" s="132"/>
      <c r="B17" s="534" t="s">
        <v>43</v>
      </c>
      <c r="C17" s="67" t="str">
        <f>IF('1. Measure Selection'!M4=0,DataValTab!$V$5,
IF(AND('1. Measure Selection'!M4=1,OR('1. Measure Selection'!L16=TRUE,'1. Measure Selection'!L17=TRUE,COUNTIF('1. Measure Selection'!L25:L31,TRUE)),OR('1. Measure Selection'!L18=TRUE,'1. Measure Selection'!L19=TRUE,COUNTIF('1. Measure Selection'!L25:L31,TRUE)),OR('1. Measure Selection'!L20=TRUE,'1. Measure Selection'!L21=TRUE,COUNTIF('1. Measure Selection'!L25:L31,TRUE))),
"",
IF(AND('1. Measure Selection'!M4=2,OR('1. Measure Selection'!L16=TRUE,'1. Measure Selection'!L17=TRUE,'1. Measure Selection'!L18=TRUE,COUNTIF('1. Measure Selection'!L25:L30,TRUE)),OR('1. Measure Selection'!L19=TRUE,'1. Measure Selection'!L20=TRUE,COUNTIF('1. Measure Selection'!L25:L30,TRUE)),OR('1. Measure Selection'!L21=TRUE,'1. Measure Selection'!L22=TRUE,COUNTIF('1. Measure Selection'!L25:L30,TRUE))),
"",
IF('1. Measure Selection'!M4=1,DataValTab!$V$6,
IF('1. Measure Selection'!M4=2,DataValTab!$V$7,"ERROR")))))</f>
        <v>Please select which mandatory set of measures you are reporting.</v>
      </c>
    </row>
    <row r="18" spans="1:3" ht="15" customHeight="1">
      <c r="A18" s="132"/>
      <c r="B18" s="534"/>
      <c r="C18" s="267" t="str">
        <f>IF(OR(AND('1. Measure Selection'!$M$4=1,
OR(AND('1. Measure Selection'!$L$16=TRUE,'1. Measure Selection'!$L$17=TRUE),AND('1. Measure Selection'!$L$18,'1. Measure Selection'!$L$19),AND('1. Measure Selection'!$L$20,'1. Measure Selection'!$L$21),AND('1. Measure Selection'!$L$25,'1. Measure Selection'!$L$26),AND('1. Measure Selection'!$L$30,'1. Measure Selection'!$L$31),AND('1. Measure Selection'!$L$34=TRUE,'1. Measure Selection'!$L$35=TRUE),AND('1. Measure Selection'!$L$36=TRUE,'1. Measure Selection'!$L$37=TRUE),AND('1. Measure Selection'!$L$38=TRUE,'1. Measure Selection'!$L$39=TRUE))),
AND('1. Measure Selection'!$M$4=2,
OR(AND('1. Measure Selection'!$L$16,'1. Measure Selection'!$L$17),AND('1. Measure Selection'!$L$21,'1. Measure Selection'!$L$22),AND('1. Measure Selection'!$L$25,'1. Measure Selection'!$L$26),AND('1. Measure Selection'!$L$27,'1. Measure Selection'!$L$28),AND('1. Measure Selection'!$L$29,'1. Measure Selection'!$L$30),AND('1. Measure Selection'!$L$36,'1. Measure Selection'!$L$37),AND('1. Measure Selection'!$L$38,'1. Measure Selection'!$L$39),AND('1. Measure Selection'!$L$40=TRUE,'1. Measure Selection'!$L$41=TRUE)))),DataValTab!$V$8,"")</f>
        <v/>
      </c>
    </row>
    <row r="19" spans="1:3" ht="15.75" customHeight="1">
      <c r="A19" s="132"/>
      <c r="B19" s="534"/>
      <c r="C19" s="65" t="str">
        <f>IF(AND('1. Measure Selection'!M5=FALSE,'1. Measure Selection'!$M$4=0),"",
IF(AND('1. Measure Selection'!$M$5=FALSE,C65&gt;10),DataValTab!$V$9,
IF(AND('1. Measure Selection'!$M$5=TRUE,C65&gt;6),DataValTab!$V$10,
IF(AND('1. Measure Selection'!$M$5=FALSE,C65&lt;10),DataValTab!$V$11,
IF(AND('1. Measure Selection'!$M$5=TRUE,C65&lt;6),DataValTab!$V$12,"")))))</f>
        <v/>
      </c>
    </row>
    <row r="20" spans="1:3" ht="15.75" customHeight="1">
      <c r="A20" s="132"/>
      <c r="B20" s="534"/>
      <c r="C20" s="65" t="str">
        <f>IF(AND('1. Measure Selection'!$M$4=1,COUNTIF('1. Measure Selection'!$L$22,TRUE)),DataValTab!$V$13,
IF(AND('1. Measure Selection'!$M$4=2,COUNTIF('1. Measure Selection'!$L$31,TRUE)),DataValTab!$V$14,""))</f>
        <v/>
      </c>
    </row>
    <row r="21" spans="1:3" ht="16.5" customHeight="1" thickBot="1">
      <c r="A21" s="132"/>
      <c r="B21" s="535"/>
      <c r="C21" s="66" t="str">
        <f>IF(AND(COUNTIF('1. Measure Selection'!O45:O53,6),'1. Measure Selection'!M5=FALSE),DataValTab!$V$15,IF(AND(COUNTIF('1. Measure Selection'!O45:O53,1),'1. Measure Selection'!M5=TRUE),DataValTab!$V$16,""))</f>
        <v/>
      </c>
    </row>
    <row r="22" spans="1:3" ht="15">
      <c r="A22" s="132"/>
      <c r="B22" s="64" t="s">
        <v>39</v>
      </c>
      <c r="C22" s="66" t="str">
        <f>IF(AND(ISBLANK(B11),ISBLANK(B5)),DataValTab!$V$17,
IF(ISBLANK(B5),DataValTab!$V$18,
IF(ISBLANK(B11),DataValTab!$V$19,"")))</f>
        <v>Error: Please enter your PCMP Name and a valid PCMP ID</v>
      </c>
    </row>
    <row r="23" spans="1:3" ht="16.5" thickBot="1">
      <c r="A23" s="132"/>
      <c r="B23" s="137"/>
      <c r="C23" s="66" t="str">
        <f>IF(AND('1. Measure Selection'!$M$4=1,OR(AND(OR('1. Measure Selection'!$L$16=TRUE,'1. Measure Selection'!$L$17=TRUE),OR('1. Measure Selection'!$L$30=TRUE,'1. Measure Selection'!$L$31=TRUE)))),DataValTab!$V$20,
IF(AND('1. Measure Selection'!$M$4=2,OR(AND(OR('1. Measure Selection'!$L$21=TRUE,'1. Measure Selection'!$L$22=TRUE),OR('1. Measure Selection'!$L$25=TRUE,'1. Measure Selection'!$L$26=TRUE)))),DataValTab!$V$20,""))</f>
        <v/>
      </c>
    </row>
    <row r="24" spans="1:3" ht="32.25" customHeight="1">
      <c r="A24" s="132"/>
      <c r="B24" s="117">
        <f>COUNTIF(C17:C22,"&gt;""")</f>
        <v>2</v>
      </c>
      <c r="C24" s="91" t="str">
        <f>IF(B24=0,"Selection Free of Error! Please proceed with submission.",IF(B24&gt;0,"Please address the above errors before submitting your workbook. Otherwise it will not be accepted.",""))</f>
        <v>Please address the above errors before submitting your workbook. Otherwise it will not be accepted.</v>
      </c>
    </row>
    <row r="25" spans="1:3" ht="14.25" customHeight="1">
      <c r="A25" s="132"/>
      <c r="B25" s="115"/>
      <c r="C25" s="116"/>
    </row>
    <row r="26" spans="1:3">
      <c r="A26" s="132"/>
      <c r="B26" s="514" t="str">
        <f>IF('1. Measure Selection'!M4=1,"Adult Measure Selection",IF('1. Measure Selection'!M4=2,"Pediatric Measure Selection","Your Measure Set Selection Will Be Here"))</f>
        <v>Your Measure Set Selection Will Be Here</v>
      </c>
      <c r="C26" s="515"/>
    </row>
    <row r="27" spans="1:3">
      <c r="A27" s="132"/>
      <c r="B27" s="514"/>
      <c r="C27" s="515"/>
    </row>
    <row r="28" spans="1:3" ht="15.75">
      <c r="A28" s="132"/>
      <c r="B28" s="512" t="s">
        <v>37</v>
      </c>
      <c r="C28" s="513"/>
    </row>
    <row r="29" spans="1:3" ht="17.25" customHeight="1">
      <c r="A29" s="132"/>
      <c r="B29" s="68" t="s">
        <v>35</v>
      </c>
      <c r="C29" s="10"/>
    </row>
    <row r="30" spans="1:3" ht="17.25" customHeight="1" thickBot="1">
      <c r="A30" s="132"/>
      <c r="B30" s="6" t="str">
        <f>IFERROR(VLOOKUP(1,'1. Measure Selection'!$B$16:$L$23,2,FALSE),"")</f>
        <v/>
      </c>
      <c r="C30" s="8" t="str">
        <f>IFERROR(VLOOKUP(1,'1. Measure Selection'!$B$16:$L$23,3,FALSE),"")</f>
        <v/>
      </c>
    </row>
    <row r="31" spans="1:3" ht="17.25" customHeight="1" thickBot="1">
      <c r="A31" s="132"/>
      <c r="B31" s="6" t="str">
        <f>IFERROR(VLOOKUP(2,'1. Measure Selection'!$B$16:$L$23,2,FALSE),"")</f>
        <v/>
      </c>
      <c r="C31" s="8" t="str">
        <f>IFERROR(VLOOKUP(2,'1. Measure Selection'!$B$16:$L$23,3,FALSE),"")</f>
        <v/>
      </c>
    </row>
    <row r="32" spans="1:3" ht="17.25" customHeight="1" thickBot="1">
      <c r="A32" s="132"/>
      <c r="B32" s="6" t="str">
        <f>IFERROR(VLOOKUP(3,'1. Measure Selection'!$B$16:$L$23,2,FALSE),"")</f>
        <v/>
      </c>
      <c r="C32" s="8" t="str">
        <f>IFERROR(VLOOKUP(3,'1. Measure Selection'!$B$16:$L$23,3,FALSE),"")</f>
        <v/>
      </c>
    </row>
    <row r="33" spans="1:3" ht="17.25" customHeight="1" thickBot="1">
      <c r="A33" s="132"/>
      <c r="B33" s="6" t="str">
        <f>IFERROR(VLOOKUP(4,'1. Measure Selection'!$B$16:$L$23,2,FALSE),"")</f>
        <v/>
      </c>
      <c r="C33" s="8" t="str">
        <f>IFERROR(VLOOKUP(4,'1. Measure Selection'!$B$16:$L$23,3,FALSE),"")</f>
        <v/>
      </c>
    </row>
    <row r="34" spans="1:3" ht="17.25" customHeight="1" thickBot="1">
      <c r="A34" s="132"/>
      <c r="B34" s="6" t="str">
        <f>IFERROR(VLOOKUP(5,'1. Measure Selection'!$B$16:$L$23,2,FALSE),"")</f>
        <v/>
      </c>
      <c r="C34" s="8" t="str">
        <f>IFERROR(VLOOKUP(5,'1. Measure Selection'!$B$16:$L$23,3,FALSE),"")</f>
        <v/>
      </c>
    </row>
    <row r="35" spans="1:3" ht="17.25" customHeight="1" thickBot="1">
      <c r="A35" s="132"/>
      <c r="B35" s="6" t="str">
        <f>IFERROR(VLOOKUP(6,'1. Measure Selection'!$B$16:$L$23,2,FALSE),"")</f>
        <v/>
      </c>
      <c r="C35" s="8" t="str">
        <f>IFERROR(VLOOKUP(6,'1. Measure Selection'!$B$16:$L$23,3,FALSE),"")</f>
        <v/>
      </c>
    </row>
    <row r="36" spans="1:3" ht="17.25" customHeight="1" thickBot="1">
      <c r="A36" s="132"/>
      <c r="B36" s="6" t="str">
        <f>IFERROR(VLOOKUP(7,'1. Measure Selection'!$B$16:$L$23,2,FALSE),"")</f>
        <v/>
      </c>
      <c r="C36" s="8" t="str">
        <f>IFERROR(VLOOKUP(7,'1. Measure Selection'!$B$16:$L$23,3,FALSE),"")</f>
        <v/>
      </c>
    </row>
    <row r="37" spans="1:3" ht="17.25" customHeight="1">
      <c r="A37" s="132"/>
      <c r="B37" s="69" t="s">
        <v>556</v>
      </c>
      <c r="C37" s="9"/>
    </row>
    <row r="38" spans="1:3" ht="17.25" customHeight="1" thickBot="1">
      <c r="A38" s="132"/>
      <c r="B38" s="7" t="str">
        <f>IFERROR(VLOOKUP(1,'1. Measure Selection'!$B$25:$L$31,2,FALSE),"")</f>
        <v/>
      </c>
      <c r="C38" s="369" t="str">
        <f>IFERROR(VLOOKUP(1,'1. Measure Selection'!$B$25:$L$31,3,FALSE),"")</f>
        <v/>
      </c>
    </row>
    <row r="39" spans="1:3" ht="17.25" customHeight="1" thickBot="1">
      <c r="A39" s="132"/>
      <c r="B39" s="7" t="str">
        <f>IFERROR(VLOOKUP(2,'1. Measure Selection'!$B$25:$L$31,2,FALSE),"")</f>
        <v/>
      </c>
      <c r="C39" s="369" t="str">
        <f>IFERROR(VLOOKUP(2,'1. Measure Selection'!$B$25:$L$31,3,FALSE),"")</f>
        <v/>
      </c>
    </row>
    <row r="40" spans="1:3" ht="17.25" customHeight="1" thickBot="1">
      <c r="A40" s="132"/>
      <c r="B40" s="7" t="str">
        <f>IFERROR(VLOOKUP(3,'1. Measure Selection'!$B$25:$L$31,2,FALSE),"")</f>
        <v/>
      </c>
      <c r="C40" s="369" t="str">
        <f>IFERROR(VLOOKUP(3,'1. Measure Selection'!$B$25:$L$31,3,FALSE),"")</f>
        <v/>
      </c>
    </row>
    <row r="41" spans="1:3" ht="17.25" customHeight="1" thickBot="1">
      <c r="A41" s="132"/>
      <c r="B41" s="7" t="str">
        <f>IFERROR(VLOOKUP(4,'1. Measure Selection'!$B$25:$L$31,2,FALSE),"")</f>
        <v/>
      </c>
      <c r="C41" s="369" t="str">
        <f>IFERROR(VLOOKUP(4,'1. Measure Selection'!$B$25:$L$31,3,FALSE),"")</f>
        <v/>
      </c>
    </row>
    <row r="42" spans="1:3" ht="17.25" customHeight="1" thickBot="1">
      <c r="A42" s="132"/>
      <c r="B42" s="7" t="str">
        <f>IFERROR(VLOOKUP(5,'1. Measure Selection'!$B$25:$L$31,2,FALSE),"")</f>
        <v/>
      </c>
      <c r="C42" s="369" t="str">
        <f>IFERROR(VLOOKUP(5,'1. Measure Selection'!$B$25:$L$31,3,FALSE),"")</f>
        <v/>
      </c>
    </row>
    <row r="43" spans="1:3" ht="17.25" customHeight="1" thickBot="1">
      <c r="A43" s="132"/>
      <c r="B43" s="7" t="str">
        <f>IFERROR(VLOOKUP(6,'1. Measure Selection'!$B$25:$L$31,2,FALSE),"")</f>
        <v/>
      </c>
      <c r="C43" s="369" t="str">
        <f>IFERROR(VLOOKUP(6,'1. Measure Selection'!$B$25:$L$31,3,FALSE),"")</f>
        <v/>
      </c>
    </row>
    <row r="44" spans="1:3" ht="17.25" customHeight="1" thickBot="1">
      <c r="A44" s="132"/>
      <c r="B44" s="7" t="str">
        <f>IFERROR(VLOOKUP(7,'1. Measure Selection'!$B$25:$L$31,2,FALSE),"")</f>
        <v/>
      </c>
      <c r="C44" s="369" t="str">
        <f>IFERROR(VLOOKUP(7,'1. Measure Selection'!$B$25:$L$31,3,FALSE),"")</f>
        <v/>
      </c>
    </row>
    <row r="45" spans="1:3" ht="17.25" customHeight="1" thickBot="1">
      <c r="A45" s="132"/>
      <c r="B45" s="7" t="str">
        <f>IFERROR(VLOOKUP(8,'1. Measure Selection'!$B$25:$L$31,2,FALSE),"")</f>
        <v/>
      </c>
      <c r="C45" s="369" t="str">
        <f>IFERROR(VLOOKUP(8,'1. Measure Selection'!$B$25:$L$31,3,FALSE),"")</f>
        <v/>
      </c>
    </row>
    <row r="46" spans="1:3" ht="17.25" customHeight="1" thickBot="1">
      <c r="A46" s="132"/>
      <c r="B46" s="7" t="str">
        <f>IFERROR(VLOOKUP(8,'1. Measure Selection'!$B$25:$L$31,2,FALSE),"")</f>
        <v/>
      </c>
      <c r="C46" s="369" t="str">
        <f>IFERROR(VLOOKUP(9,'1. Measure Selection'!$B$25:$L$31,3,FALSE),"")</f>
        <v/>
      </c>
    </row>
    <row r="47" spans="1:3" ht="17.25" customHeight="1" thickBot="1">
      <c r="A47" s="132"/>
      <c r="B47" s="7" t="str">
        <f>IFERROR(VLOOKUP(8,'1. Measure Selection'!$B$25:$L$31,2,FALSE),"")</f>
        <v/>
      </c>
      <c r="C47" s="369" t="str">
        <f>IFERROR(VLOOKUP(10,'1. Measure Selection'!$B$25:$L$31,3,FALSE),"")</f>
        <v/>
      </c>
    </row>
    <row r="48" spans="1:3" ht="17.25" customHeight="1">
      <c r="A48" s="132"/>
      <c r="B48" s="69" t="s">
        <v>30</v>
      </c>
      <c r="C48" s="9"/>
    </row>
    <row r="49" spans="1:3" ht="17.25" customHeight="1" thickBot="1">
      <c r="A49" s="132"/>
      <c r="B49" s="6" t="str">
        <f>IFERROR(VLOOKUP(1,'1. Measure Selection'!$B$34:$L$54,2,FALSE),"")</f>
        <v/>
      </c>
      <c r="C49" s="8" t="str">
        <f>IFERROR(VLOOKUP(1,'1. Measure Selection'!$B$34:$L$54,3,FALSE),"")</f>
        <v/>
      </c>
    </row>
    <row r="50" spans="1:3" ht="17.25" customHeight="1" thickBot="1">
      <c r="A50" s="132"/>
      <c r="B50" s="6" t="str">
        <f>IFERROR(VLOOKUP(2,'1. Measure Selection'!$B$34:$L$54,2,FALSE),"")</f>
        <v/>
      </c>
      <c r="C50" s="8" t="str">
        <f>IFERROR(VLOOKUP(2,'1. Measure Selection'!$B$34:$L$54,3,FALSE),"")</f>
        <v/>
      </c>
    </row>
    <row r="51" spans="1:3" ht="17.25" customHeight="1" thickBot="1">
      <c r="A51" s="132"/>
      <c r="B51" s="6" t="str">
        <f>IFERROR(VLOOKUP(3,'1. Measure Selection'!$B$34:$L$54,2,FALSE),"")</f>
        <v/>
      </c>
      <c r="C51" s="8" t="str">
        <f>IFERROR(VLOOKUP(3,'1. Measure Selection'!$B$34:$L$54,3,FALSE),"")</f>
        <v/>
      </c>
    </row>
    <row r="52" spans="1:3" ht="17.25" customHeight="1" thickBot="1">
      <c r="A52" s="132"/>
      <c r="B52" s="6" t="str">
        <f>IFERROR(VLOOKUP(4,'1. Measure Selection'!$B$34:$L$54,2,FALSE),"")</f>
        <v/>
      </c>
      <c r="C52" s="8" t="str">
        <f>IFERROR(VLOOKUP(4,'1. Measure Selection'!$B$34:$L$54,3,FALSE),"")</f>
        <v/>
      </c>
    </row>
    <row r="53" spans="1:3" ht="17.25" customHeight="1" thickBot="1">
      <c r="A53" s="132"/>
      <c r="B53" s="6" t="str">
        <f>IFERROR(VLOOKUP(5,'1. Measure Selection'!$B$34:$L$54,2,FALSE),"")</f>
        <v/>
      </c>
      <c r="C53" s="8" t="str">
        <f>IFERROR(VLOOKUP(5,'1. Measure Selection'!$B$34:$L$54,3,FALSE),"")</f>
        <v/>
      </c>
    </row>
    <row r="54" spans="1:3" ht="17.25" customHeight="1" thickBot="1">
      <c r="A54" s="132"/>
      <c r="B54" s="6" t="str">
        <f>IFERROR(VLOOKUP(6,'1. Measure Selection'!$B$34:$L$54,2,FALSE),"")</f>
        <v/>
      </c>
      <c r="C54" s="8" t="str">
        <f>IFERROR(VLOOKUP(6,'1. Measure Selection'!$B$34:$L$54,3,FALSE),"")</f>
        <v/>
      </c>
    </row>
    <row r="55" spans="1:3" ht="17.25" customHeight="1" thickBot="1">
      <c r="A55" s="132"/>
      <c r="B55" s="6" t="str">
        <f>IFERROR(VLOOKUP(7,'1. Measure Selection'!$B$34:$L$54,2,FALSE),"")</f>
        <v/>
      </c>
      <c r="C55" s="8" t="str">
        <f>IFERROR(VLOOKUP(7,'1. Measure Selection'!$B$34:$L$54,3,FALSE),"")</f>
        <v/>
      </c>
    </row>
    <row r="56" spans="1:3" s="132" customFormat="1" ht="17.25" customHeight="1" thickBot="1">
      <c r="B56" s="6" t="str">
        <f>IFERROR(VLOOKUP(8,'1. Measure Selection'!$B$34:$L$54,2,FALSE),"")</f>
        <v/>
      </c>
      <c r="C56" s="8" t="str">
        <f>IFERROR(VLOOKUP(8,'1. Measure Selection'!$B$34:$L$54,3,FALSE),"")</f>
        <v/>
      </c>
    </row>
    <row r="57" spans="1:3" s="132" customFormat="1" ht="17.25" customHeight="1" thickBot="1">
      <c r="B57" s="6" t="str">
        <f>IFERROR(VLOOKUP(9,'1. Measure Selection'!$B$34:$L$54,2,FALSE),"")</f>
        <v/>
      </c>
      <c r="C57" s="8" t="str">
        <f>IFERROR(VLOOKUP(9,'1. Measure Selection'!$B$34:$L$54,3,FALSE),"")</f>
        <v/>
      </c>
    </row>
    <row r="58" spans="1:3" s="132" customFormat="1" ht="17.25" customHeight="1" thickBot="1">
      <c r="B58" s="6" t="str">
        <f>IFERROR(VLOOKUP(10,'1. Measure Selection'!$B$34:$L$54,2,FALSE),"")</f>
        <v/>
      </c>
      <c r="C58" s="8" t="str">
        <f>IFERROR(VLOOKUP(10,'1. Measure Selection'!$B$34:$L$54,3,FALSE),"")</f>
        <v/>
      </c>
    </row>
    <row r="59" spans="1:3" s="132" customFormat="1" ht="17.25" customHeight="1" thickBot="1">
      <c r="B59" s="6" t="str">
        <f>IFERROR(VLOOKUP(11,'1. Measure Selection'!$B$34:$L$54,2,FALSE),"")</f>
        <v/>
      </c>
      <c r="C59" s="8" t="str">
        <f>IFERROR(VLOOKUP(11,'1. Measure Selection'!$B$34:$L$54,3,FALSE),"")</f>
        <v/>
      </c>
    </row>
    <row r="60" spans="1:3" s="132" customFormat="1" ht="17.25" customHeight="1" thickBot="1">
      <c r="B60" s="6" t="str">
        <f>IFERROR(VLOOKUP(12,'1. Measure Selection'!$B$34:$L$54,2,FALSE),"")</f>
        <v/>
      </c>
      <c r="C60" s="8" t="str">
        <f>IFERROR(VLOOKUP(12,'1. Measure Selection'!$B$34:$L$54,3,FALSE),"")</f>
        <v/>
      </c>
    </row>
    <row r="61" spans="1:3" s="132" customFormat="1" ht="17.25" customHeight="1" thickBot="1">
      <c r="B61" s="6" t="str">
        <f>IFERROR(VLOOKUP(13,'1. Measure Selection'!$B$34:$L$54,2,FALSE),"")</f>
        <v/>
      </c>
      <c r="C61" s="8" t="str">
        <f>IFERROR(VLOOKUP(13,'1. Measure Selection'!$B$34:$L$54,3,FALSE),"")</f>
        <v/>
      </c>
    </row>
    <row r="62" spans="1:3" s="132" customFormat="1" ht="17.25" customHeight="1" thickBot="1">
      <c r="B62" s="6" t="str">
        <f>IFERROR(VLOOKUP(14,'1. Measure Selection'!$B$34:$L$54,2,FALSE),"")</f>
        <v/>
      </c>
      <c r="C62" s="8" t="str">
        <f>IFERROR(VLOOKUP(14,'1. Measure Selection'!$B$34:$L$54,3,FALSE),"")</f>
        <v/>
      </c>
    </row>
    <row r="63" spans="1:3" s="132" customFormat="1" ht="17.25" customHeight="1" thickBot="1">
      <c r="B63" s="6" t="str">
        <f>IFERROR(VLOOKUP(15,'1. Measure Selection'!$B$34:$L$54,2,FALSE),"")</f>
        <v/>
      </c>
      <c r="C63" s="8" t="str">
        <f>IFERROR(VLOOKUP(15,'1. Measure Selection'!$B$34:$L$54,3,FALSE),"")</f>
        <v/>
      </c>
    </row>
    <row r="64" spans="1:3" s="132" customFormat="1" ht="17.25" customHeight="1" thickBot="1">
      <c r="B64" s="6" t="str">
        <f>IFERROR(VLOOKUP(16,'1. Measure Selection'!$B$34:$L$54,2,FALSE),"")</f>
        <v/>
      </c>
      <c r="C64" s="8" t="str">
        <f>IFERROR(VLOOKUP(16,'1. Measure Selection'!$B$34:$L$54,3,FALSE),"")</f>
        <v/>
      </c>
    </row>
    <row r="65" spans="2:4" s="132" customFormat="1" ht="15.75">
      <c r="B65" s="11" t="s">
        <v>36</v>
      </c>
      <c r="C65" s="12">
        <f>COUNTIF(C30:C64,"&gt;""")</f>
        <v>0</v>
      </c>
    </row>
    <row r="66" spans="2:4" s="132" customFormat="1">
      <c r="B66" s="4"/>
      <c r="C66" s="138" t="str">
        <f>IF('1. Measure Selection'!M5=TRUE,"PCMH Status","")</f>
        <v/>
      </c>
    </row>
    <row r="67" spans="2:4" s="132" customFormat="1" ht="14.65" customHeight="1">
      <c r="B67" s="4"/>
      <c r="C67" s="120"/>
    </row>
    <row r="68" spans="2:4" s="132" customFormat="1" ht="14.65" customHeight="1">
      <c r="B68" s="3"/>
      <c r="C68" s="2"/>
    </row>
    <row r="69" spans="2:4" s="132" customFormat="1" ht="15" thickBot="1">
      <c r="B69" s="13"/>
      <c r="C69" s="14"/>
    </row>
    <row r="70" spans="2:4" s="132" customFormat="1">
      <c r="C70" s="15"/>
      <c r="D70" s="139"/>
    </row>
    <row r="71" spans="2:4" s="132" customFormat="1">
      <c r="C71" s="15"/>
      <c r="D71" s="139"/>
    </row>
    <row r="72" spans="2:4" s="132" customFormat="1">
      <c r="C72" s="15"/>
      <c r="D72" s="139"/>
    </row>
    <row r="73" spans="2:4" s="132" customFormat="1"/>
    <row r="74" spans="2:4" s="132" customFormat="1"/>
    <row r="75" spans="2:4" s="132" customFormat="1"/>
    <row r="76" spans="2:4" s="132" customFormat="1"/>
    <row r="77" spans="2:4" s="132" customFormat="1"/>
    <row r="78" spans="2:4" s="132" customFormat="1"/>
    <row r="79" spans="2:4" s="132" customFormat="1"/>
    <row r="80" spans="2:4"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row r="109" s="132" customFormat="1"/>
    <row r="110" s="132" customFormat="1"/>
    <row r="111" s="132" customFormat="1"/>
    <row r="112" s="132" customFormat="1"/>
    <row r="113" s="132" customFormat="1"/>
    <row r="114" s="132" customFormat="1"/>
    <row r="115" s="132" customFormat="1"/>
    <row r="116" s="132" customFormat="1"/>
    <row r="117" s="132" customFormat="1"/>
    <row r="118" s="132" customFormat="1"/>
    <row r="119" s="132" customFormat="1"/>
    <row r="120" s="132" customFormat="1"/>
    <row r="121" s="132" customFormat="1"/>
    <row r="122" s="132" customFormat="1"/>
    <row r="123" s="132" customFormat="1"/>
    <row r="124" s="132" customFormat="1"/>
    <row r="125" s="132" customFormat="1"/>
    <row r="126" s="132" customFormat="1"/>
    <row r="127" s="132" customFormat="1"/>
    <row r="128" s="132" customFormat="1"/>
    <row r="129" s="132" customFormat="1"/>
    <row r="130" s="132" customFormat="1"/>
    <row r="131" s="132" customFormat="1"/>
    <row r="132" s="132" customFormat="1"/>
    <row r="133" s="132" customFormat="1"/>
    <row r="134" s="132" customFormat="1"/>
    <row r="135" s="132" customFormat="1"/>
    <row r="136" s="132" customFormat="1"/>
    <row r="137" s="132" customFormat="1"/>
    <row r="138" s="132" customFormat="1"/>
    <row r="139" s="132" customFormat="1"/>
    <row r="140" s="132" customFormat="1"/>
    <row r="141" s="132" customFormat="1"/>
    <row r="142" s="132" customFormat="1"/>
    <row r="143" s="132" customFormat="1"/>
    <row r="144" s="132" customFormat="1"/>
    <row r="145" s="132" customFormat="1"/>
    <row r="146" s="132" customFormat="1"/>
    <row r="147" s="132" customFormat="1"/>
    <row r="148" s="132" customFormat="1"/>
    <row r="149" s="132" customFormat="1"/>
    <row r="150" s="132" customFormat="1"/>
    <row r="151" s="132" customFormat="1"/>
    <row r="152" s="132" customFormat="1"/>
    <row r="153" s="132" customFormat="1"/>
    <row r="154" s="132" customFormat="1"/>
    <row r="155" s="132" customFormat="1"/>
    <row r="156" s="132" customFormat="1"/>
    <row r="157" s="132" customFormat="1"/>
    <row r="158" s="132" customFormat="1"/>
    <row r="159" s="132" customFormat="1"/>
    <row r="160" s="132" customFormat="1"/>
    <row r="161" s="132" customFormat="1"/>
    <row r="162" s="132" customFormat="1"/>
    <row r="163" s="132" customFormat="1"/>
    <row r="164" s="132" customFormat="1"/>
    <row r="165" s="132" customFormat="1"/>
    <row r="166" s="132" customFormat="1"/>
    <row r="167" s="132" customFormat="1"/>
    <row r="168" s="132" customFormat="1"/>
    <row r="169" s="132" customFormat="1"/>
    <row r="170" s="132" customFormat="1"/>
    <row r="171" s="132" customFormat="1"/>
    <row r="172" s="132" customFormat="1"/>
    <row r="173" s="132" customFormat="1"/>
    <row r="174" s="132" customFormat="1"/>
    <row r="175" s="132" customFormat="1"/>
    <row r="176" s="132" customFormat="1"/>
    <row r="177" s="132" customFormat="1"/>
    <row r="178" s="132" customFormat="1"/>
    <row r="179" s="132" customFormat="1"/>
    <row r="180" s="132" customFormat="1"/>
    <row r="181" s="132" customFormat="1"/>
    <row r="182" s="132" customFormat="1"/>
    <row r="183" s="132" customFormat="1"/>
    <row r="184" s="132" customFormat="1"/>
    <row r="185" s="132" customFormat="1"/>
    <row r="186" s="132" customFormat="1"/>
    <row r="187" s="132" customFormat="1"/>
    <row r="188" s="132" customFormat="1"/>
    <row r="189" s="132" customFormat="1"/>
    <row r="190" s="132" customFormat="1"/>
    <row r="191" s="132" customFormat="1"/>
    <row r="192" s="132" customFormat="1"/>
    <row r="193" s="132" customFormat="1"/>
    <row r="194" s="132" customFormat="1"/>
    <row r="195" s="132" customFormat="1"/>
    <row r="196" s="132" customFormat="1"/>
    <row r="197" s="132" customFormat="1"/>
    <row r="198" s="132" customFormat="1"/>
    <row r="199" s="132" customFormat="1"/>
    <row r="200" s="132" customFormat="1"/>
    <row r="201" s="132" customFormat="1"/>
    <row r="202" s="132" customFormat="1"/>
    <row r="203" s="132" customFormat="1"/>
    <row r="204" s="132" customFormat="1"/>
    <row r="205" s="132" customFormat="1"/>
    <row r="206" s="132" customFormat="1"/>
    <row r="207" s="132" customFormat="1"/>
    <row r="208" s="132" customFormat="1"/>
    <row r="209" s="132" customFormat="1"/>
    <row r="210" s="132" customFormat="1"/>
    <row r="211" s="132" customFormat="1"/>
    <row r="212" s="132" customFormat="1"/>
    <row r="213" s="132" customFormat="1"/>
    <row r="214" s="132" customFormat="1"/>
    <row r="215" s="132" customFormat="1"/>
    <row r="216" s="132" customFormat="1"/>
    <row r="217" s="132" customFormat="1"/>
    <row r="218" s="132" customFormat="1"/>
    <row r="219" s="132" customFormat="1"/>
    <row r="220" s="132" customFormat="1"/>
    <row r="221" s="132" customFormat="1"/>
    <row r="222" s="132" customFormat="1"/>
    <row r="223" s="132" customFormat="1"/>
    <row r="224" s="132" customFormat="1"/>
    <row r="225" s="132" customFormat="1"/>
    <row r="226" s="132" customFormat="1"/>
    <row r="227" s="132" customFormat="1"/>
    <row r="228" s="132" customFormat="1"/>
    <row r="229" s="132" customFormat="1"/>
    <row r="230" s="132" customFormat="1"/>
    <row r="231" s="132" customFormat="1"/>
    <row r="232" s="132" customFormat="1"/>
    <row r="233" s="132" customFormat="1"/>
    <row r="234" s="132" customFormat="1"/>
    <row r="235" s="132" customFormat="1"/>
    <row r="236" s="132" customFormat="1"/>
    <row r="237" s="132" customFormat="1"/>
    <row r="238" s="132" customFormat="1"/>
    <row r="239" s="132" customFormat="1"/>
    <row r="240" s="132" customFormat="1"/>
    <row r="241" s="132" customFormat="1"/>
    <row r="242" s="132" customFormat="1"/>
    <row r="243" s="132" customFormat="1"/>
    <row r="244" s="132" customFormat="1"/>
    <row r="245" s="132" customFormat="1"/>
    <row r="246" s="132" customFormat="1"/>
    <row r="247" s="132" customFormat="1"/>
    <row r="248" s="132" customFormat="1"/>
    <row r="249" s="132" customFormat="1"/>
    <row r="250" s="132" customFormat="1"/>
    <row r="251" s="132" customFormat="1"/>
    <row r="252" s="132" customFormat="1"/>
    <row r="253" s="132" customFormat="1"/>
    <row r="254" s="132" customFormat="1"/>
    <row r="255" s="132" customFormat="1"/>
    <row r="256" s="132" customFormat="1"/>
    <row r="257" s="132" customFormat="1"/>
    <row r="258" s="132" customFormat="1"/>
    <row r="259" s="132" customFormat="1"/>
    <row r="260" s="132" customFormat="1"/>
    <row r="261" s="132" customFormat="1"/>
    <row r="262" s="132" customFormat="1"/>
    <row r="263" s="132" customFormat="1"/>
    <row r="264" s="132" customFormat="1"/>
    <row r="265" s="132" customFormat="1"/>
    <row r="266" s="132" customFormat="1"/>
    <row r="267" s="132" customFormat="1"/>
    <row r="268" s="132" customFormat="1"/>
    <row r="269" s="132" customFormat="1"/>
    <row r="270" s="132" customFormat="1"/>
    <row r="271" s="132" customFormat="1"/>
    <row r="272" s="132" customFormat="1"/>
    <row r="273" s="132" customFormat="1"/>
    <row r="274" s="132" customFormat="1"/>
    <row r="275" s="132" customFormat="1"/>
    <row r="276" s="132" customFormat="1"/>
    <row r="277" s="132" customFormat="1"/>
    <row r="278" s="132" customFormat="1"/>
    <row r="279" s="132" customFormat="1"/>
    <row r="280" s="132" customFormat="1"/>
    <row r="281" s="132" customFormat="1"/>
    <row r="282" s="132" customFormat="1"/>
    <row r="283" s="132" customFormat="1"/>
    <row r="284" s="132" customFormat="1"/>
    <row r="285" s="132" customFormat="1"/>
    <row r="286" s="132" customFormat="1"/>
    <row r="287" s="132" customFormat="1"/>
    <row r="288" s="132" customFormat="1"/>
    <row r="289" s="132" customFormat="1"/>
    <row r="290" s="132" customFormat="1"/>
    <row r="291" s="132" customFormat="1"/>
    <row r="292" s="132" customFormat="1"/>
    <row r="293" s="132" customFormat="1"/>
    <row r="294" s="132" customFormat="1"/>
    <row r="295" s="132" customFormat="1"/>
    <row r="296" s="132" customFormat="1"/>
    <row r="297" s="132" customFormat="1"/>
    <row r="298" s="132" customFormat="1"/>
    <row r="299" s="132" customFormat="1"/>
    <row r="300" s="132" customFormat="1"/>
    <row r="301" s="132" customFormat="1"/>
    <row r="302" s="132" customFormat="1"/>
    <row r="303" s="132" customFormat="1"/>
    <row r="304" s="132" customFormat="1"/>
    <row r="305" s="132" customFormat="1"/>
    <row r="306" s="132" customFormat="1"/>
    <row r="307" s="132" customFormat="1"/>
    <row r="308" s="132" customFormat="1"/>
    <row r="309" s="132" customFormat="1"/>
    <row r="310" s="132" customFormat="1"/>
    <row r="311" s="132" customFormat="1"/>
    <row r="312" s="132" customFormat="1"/>
    <row r="313" s="132" customFormat="1"/>
    <row r="314" s="132" customFormat="1"/>
    <row r="315" s="132" customFormat="1"/>
    <row r="316" s="132" customFormat="1"/>
    <row r="317" s="132" customFormat="1"/>
    <row r="318" s="132" customFormat="1"/>
    <row r="319" s="132" customFormat="1"/>
    <row r="320" s="132" customFormat="1"/>
    <row r="321" s="132" customFormat="1"/>
    <row r="322" s="132" customFormat="1"/>
    <row r="323" s="132" customFormat="1"/>
    <row r="324" s="132" customFormat="1"/>
    <row r="325" s="132" customFormat="1"/>
    <row r="326" s="132" customFormat="1"/>
    <row r="327" s="132" customFormat="1"/>
    <row r="328" s="132" customFormat="1"/>
    <row r="329" s="132" customFormat="1"/>
    <row r="330" s="132" customFormat="1"/>
    <row r="331" s="132" customFormat="1"/>
    <row r="332" s="132" customFormat="1"/>
    <row r="333" s="132" customFormat="1"/>
    <row r="334" s="132" customFormat="1"/>
    <row r="335" s="132" customFormat="1"/>
    <row r="336" s="132" customFormat="1"/>
    <row r="337" s="132" customFormat="1"/>
    <row r="338" s="132" customFormat="1"/>
    <row r="339" s="132" customFormat="1"/>
    <row r="340" s="132" customFormat="1"/>
    <row r="341" s="132" customFormat="1"/>
    <row r="342" s="132" customFormat="1"/>
    <row r="343" s="132" customFormat="1"/>
    <row r="344" s="132" customFormat="1"/>
    <row r="345" s="132" customFormat="1"/>
    <row r="346" s="132" customFormat="1"/>
    <row r="347" s="132" customFormat="1"/>
    <row r="348" s="132" customFormat="1"/>
    <row r="349" s="132" customFormat="1"/>
    <row r="350" s="132" customFormat="1"/>
    <row r="351" s="132" customFormat="1"/>
    <row r="352" s="132" customFormat="1"/>
    <row r="353" spans="1:2" s="132" customFormat="1"/>
    <row r="354" spans="1:2" s="132" customFormat="1"/>
    <row r="355" spans="1:2">
      <c r="A355" s="132"/>
      <c r="B355" s="132"/>
    </row>
    <row r="356" spans="1:2">
      <c r="A356" s="132"/>
      <c r="B356" s="132"/>
    </row>
    <row r="357" spans="1:2">
      <c r="A357" s="133"/>
      <c r="B357" s="132"/>
    </row>
    <row r="358" spans="1:2">
      <c r="A358" s="133"/>
      <c r="B358" s="132"/>
    </row>
    <row r="359" spans="1:2">
      <c r="A359" s="133"/>
      <c r="B359" s="132"/>
    </row>
    <row r="360" spans="1:2">
      <c r="A360" s="133"/>
      <c r="B360" s="133"/>
    </row>
    <row r="361" spans="1:2">
      <c r="A361" s="133"/>
      <c r="B361" s="133"/>
    </row>
    <row r="362" spans="1:2">
      <c r="A362" s="133"/>
      <c r="B362" s="133"/>
    </row>
    <row r="363" spans="1:2">
      <c r="B363" s="133"/>
    </row>
    <row r="364" spans="1:2">
      <c r="B364" s="133"/>
    </row>
    <row r="365" spans="1:2">
      <c r="B365" s="133"/>
    </row>
  </sheetData>
  <sheetProtection algorithmName="SHA-512" hashValue="ZcbuS042W4K8d/PvVUfRP7q535PAtwEK4wO/I83dskB8h+JMzKd1Xi2N8t3UbDhW4l7K3HTUlO7EiU48yAM7sg==" saltValue="0aTvPGHliQVvKi7Y+OAfvA==" spinCount="100000" sheet="1" objects="1" scenarios="1"/>
  <mergeCells count="12">
    <mergeCell ref="E10:F14"/>
    <mergeCell ref="B28:C28"/>
    <mergeCell ref="B26:C27"/>
    <mergeCell ref="B1:C1"/>
    <mergeCell ref="B5:C7"/>
    <mergeCell ref="B9:C10"/>
    <mergeCell ref="B8:C8"/>
    <mergeCell ref="B11:C13"/>
    <mergeCell ref="B3:C4"/>
    <mergeCell ref="B15:C16"/>
    <mergeCell ref="B14:C14"/>
    <mergeCell ref="B17:B21"/>
  </mergeCells>
  <conditionalFormatting sqref="B24:B25">
    <cfRule type="cellIs" dxfId="45" priority="3" operator="lessThanOrEqual">
      <formula>0</formula>
    </cfRule>
    <cfRule type="cellIs" dxfId="44" priority="4" operator="greaterThan">
      <formula>0</formula>
    </cfRule>
  </conditionalFormatting>
  <conditionalFormatting sqref="C24:C25">
    <cfRule type="cellIs" dxfId="43" priority="5" operator="equal">
      <formula>"Please address the above errors before submitting your workbook. Otherwise it will not be accepted."</formula>
    </cfRule>
    <cfRule type="cellIs" dxfId="42" priority="6" operator="equal">
      <formula>"Selection Free of Error! Please proceed with submission."</formula>
    </cfRule>
  </conditionalFormatting>
  <pageMargins left="0.25" right="0.25" top="0.75" bottom="0.75" header="0.3" footer="0.3"/>
  <pageSetup scale="65" orientation="portrait" horizontalDpi="1200" verticalDpi="1200" r:id="rId1"/>
  <rowBreaks count="1" manualBreakCount="1">
    <brk id="69" min="1" max="2" man="1"/>
  </rowBreaks>
  <colBreaks count="1" manualBreakCount="1">
    <brk id="3" max="349" man="1"/>
  </colBreaks>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PCMP" error="Please enter a valid PCMP ID" promptTitle="PCMP ID" prompt="Please enter only one PCMP ID per workbook." xr:uid="{00000000-0002-0000-0100-000000000000}">
          <x14:formula1>
            <xm:f>DataValTab!$A$2:$A$641</xm:f>
          </x14:formula1>
          <xm:sqref>B11:C13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sheetPr>
  <dimension ref="A1:BH197"/>
  <sheetViews>
    <sheetView showGridLines="0" topLeftCell="C1" zoomScale="70" zoomScaleNormal="70" workbookViewId="0">
      <pane ySplit="13" topLeftCell="A14" activePane="bottomLeft" state="frozen"/>
      <selection activeCell="C1" sqref="C1"/>
      <selection pane="bottomLeft" activeCell="D26" sqref="D26"/>
    </sheetView>
  </sheetViews>
  <sheetFormatPr defaultColWidth="9.28515625" defaultRowHeight="14.25"/>
  <cols>
    <col min="1" max="1" width="2.5703125" style="17" hidden="1" customWidth="1"/>
    <col min="2" max="2" width="3.85546875" style="18" hidden="1" customWidth="1"/>
    <col min="3" max="3" width="24.28515625" style="61" bestFit="1" customWidth="1"/>
    <col min="4" max="4" width="206.7109375" style="17" bestFit="1" customWidth="1"/>
    <col min="5" max="5" width="17.85546875" style="17" bestFit="1" customWidth="1"/>
    <col min="6" max="6" width="17.7109375" style="17" bestFit="1" customWidth="1"/>
    <col min="7" max="7" width="24.85546875" style="17" bestFit="1" customWidth="1"/>
    <col min="8" max="8" width="17.85546875" style="17" bestFit="1" customWidth="1"/>
    <col min="9" max="9" width="13.28515625" style="17" customWidth="1"/>
    <col min="10" max="10" width="4.42578125" style="17" hidden="1" customWidth="1"/>
    <col min="11" max="11" width="7.5703125" style="17" hidden="1" customWidth="1"/>
    <col min="12" max="12" width="10" style="17" hidden="1" customWidth="1"/>
    <col min="13" max="13" width="24.5703125" style="41" hidden="1" customWidth="1"/>
    <col min="14" max="14" width="46.85546875" style="41" hidden="1" customWidth="1"/>
    <col min="15" max="15" width="2.5703125" style="41" hidden="1" customWidth="1"/>
    <col min="16" max="16" width="0.42578125" style="41" hidden="1" customWidth="1"/>
    <col min="17" max="17" width="17" style="18" hidden="1" customWidth="1"/>
    <col min="18" max="21" width="9.28515625" style="19"/>
    <col min="22" max="22" width="15" style="19" bestFit="1" customWidth="1"/>
    <col min="23" max="23" width="9.140625" style="19" customWidth="1"/>
    <col min="24" max="27" width="9.28515625" style="19"/>
    <col min="28" max="60" width="9.28515625" style="20"/>
    <col min="61" max="16384" width="9.28515625" style="17"/>
  </cols>
  <sheetData>
    <row r="1" spans="1:54" ht="15" customHeight="1">
      <c r="C1" s="536" t="s">
        <v>443</v>
      </c>
      <c r="D1" s="537"/>
      <c r="E1" s="537"/>
      <c r="F1" s="537"/>
      <c r="G1" s="537"/>
      <c r="H1" s="537"/>
      <c r="I1" s="538"/>
      <c r="J1" s="107"/>
      <c r="K1" s="107"/>
      <c r="L1" s="107"/>
      <c r="M1" s="108"/>
      <c r="N1" s="108"/>
      <c r="O1" s="108"/>
      <c r="P1" s="108"/>
      <c r="Q1" s="109"/>
    </row>
    <row r="2" spans="1:54" ht="15.75" customHeight="1" thickBot="1">
      <c r="B2" s="21"/>
      <c r="C2" s="539"/>
      <c r="D2" s="540"/>
      <c r="E2" s="540"/>
      <c r="F2" s="540"/>
      <c r="G2" s="540"/>
      <c r="H2" s="540"/>
      <c r="I2" s="541"/>
      <c r="J2" s="107"/>
      <c r="K2" s="107"/>
      <c r="L2" s="107"/>
      <c r="M2" s="108"/>
      <c r="N2" s="108"/>
      <c r="O2" s="108"/>
      <c r="P2" s="108"/>
      <c r="Q2" s="109"/>
    </row>
    <row r="3" spans="1:54" ht="12" customHeight="1">
      <c r="B3" s="21"/>
      <c r="C3" s="25"/>
      <c r="D3" s="26"/>
      <c r="E3" s="22"/>
      <c r="F3" s="23"/>
      <c r="G3" s="23"/>
      <c r="H3" s="23"/>
      <c r="I3" s="23"/>
      <c r="J3" s="23"/>
      <c r="K3" s="23"/>
      <c r="L3" s="23"/>
      <c r="M3" s="24"/>
      <c r="N3" s="24"/>
      <c r="O3" s="24"/>
      <c r="P3" s="24"/>
      <c r="Q3" s="19"/>
    </row>
    <row r="4" spans="1:54" ht="33" customHeight="1">
      <c r="C4" s="25"/>
      <c r="D4" s="545" t="s">
        <v>579</v>
      </c>
      <c r="E4" s="22"/>
      <c r="F4" s="547" t="s">
        <v>417</v>
      </c>
      <c r="G4" s="547"/>
      <c r="H4" s="547"/>
      <c r="I4" s="547"/>
      <c r="J4" s="27"/>
      <c r="K4" s="27"/>
      <c r="L4" s="19"/>
      <c r="M4" s="28">
        <v>0</v>
      </c>
      <c r="N4" s="28"/>
      <c r="O4" s="28"/>
      <c r="P4" s="28"/>
      <c r="Q4" s="29"/>
    </row>
    <row r="5" spans="1:54" ht="34.5" customHeight="1">
      <c r="C5" s="30"/>
      <c r="D5" s="545"/>
      <c r="E5" s="29"/>
      <c r="F5" s="546" t="s">
        <v>79</v>
      </c>
      <c r="G5" s="546"/>
      <c r="H5" s="546"/>
      <c r="I5" s="546"/>
      <c r="J5" s="29"/>
      <c r="K5" s="29"/>
      <c r="L5" s="31"/>
      <c r="M5" s="32" t="b">
        <v>0</v>
      </c>
      <c r="N5" s="31">
        <f>(COUNTIF(M5,M5&lt;&gt;"TRUE")*100)</f>
        <v>0</v>
      </c>
      <c r="O5" s="33"/>
      <c r="P5" s="33"/>
      <c r="Q5" s="29"/>
    </row>
    <row r="6" spans="1:54" ht="24.75" customHeight="1">
      <c r="C6" s="30"/>
      <c r="D6" s="200"/>
      <c r="E6" s="34"/>
      <c r="F6" s="548" t="s">
        <v>77</v>
      </c>
      <c r="G6" s="548"/>
      <c r="H6" s="548"/>
      <c r="I6" s="548"/>
      <c r="J6" s="25"/>
      <c r="K6" s="25"/>
      <c r="M6" s="33"/>
      <c r="N6" s="33"/>
      <c r="O6" s="33"/>
      <c r="P6" s="33"/>
      <c r="Q6" s="29"/>
    </row>
    <row r="7" spans="1:54" ht="24.75" customHeight="1" thickBot="1">
      <c r="C7" s="30"/>
      <c r="E7" s="35"/>
      <c r="F7" s="547" t="s">
        <v>78</v>
      </c>
      <c r="G7" s="547"/>
      <c r="H7" s="547"/>
      <c r="I7" s="547"/>
      <c r="J7" s="25"/>
      <c r="K7" s="25"/>
      <c r="M7" s="33"/>
      <c r="N7" s="33"/>
      <c r="O7" s="33"/>
      <c r="P7" s="33"/>
      <c r="Q7" s="29"/>
    </row>
    <row r="8" spans="1:54" ht="12" customHeight="1">
      <c r="B8" s="21"/>
      <c r="C8" s="30"/>
      <c r="D8" s="542" t="str">
        <f>IF('Overview Page'!B24=0,"Selection Free of Error! Please proceed with submission.",IF('Overview Page'!B24&gt;0,"Errors Present! Please see Overview Page to view and resolve all errors",""))</f>
        <v>Errors Present! Please see Overview Page to view and resolve all errors</v>
      </c>
      <c r="E8" s="35"/>
      <c r="F8" s="40" t="s">
        <v>501</v>
      </c>
      <c r="G8" s="29"/>
      <c r="H8" s="36"/>
      <c r="I8" s="29"/>
      <c r="J8" s="29"/>
      <c r="K8" s="29"/>
      <c r="L8" s="29"/>
      <c r="M8" s="33"/>
      <c r="N8" s="33"/>
      <c r="O8" s="33"/>
      <c r="P8" s="33"/>
      <c r="Q8" s="19"/>
    </row>
    <row r="9" spans="1:54" ht="15.75" customHeight="1">
      <c r="B9" s="21"/>
      <c r="C9" s="30"/>
      <c r="D9" s="543"/>
      <c r="E9" s="325"/>
      <c r="G9" s="326"/>
      <c r="H9" s="326"/>
      <c r="I9" s="326"/>
      <c r="J9" s="29"/>
      <c r="K9" s="29"/>
      <c r="L9" s="29"/>
      <c r="M9" s="33"/>
      <c r="N9" s="33"/>
      <c r="O9" s="33"/>
      <c r="P9" s="33"/>
      <c r="Q9" s="19"/>
    </row>
    <row r="10" spans="1:54" ht="32.25" customHeight="1" thickBot="1">
      <c r="B10" s="21"/>
      <c r="C10" s="30"/>
      <c r="D10" s="544"/>
      <c r="E10" s="324"/>
      <c r="F10" s="114"/>
      <c r="G10" s="326"/>
      <c r="H10" s="326"/>
      <c r="I10" s="326"/>
      <c r="J10" s="29"/>
      <c r="K10" s="29"/>
      <c r="L10" s="29"/>
      <c r="M10" s="33"/>
      <c r="N10" s="33"/>
      <c r="O10" s="33"/>
      <c r="P10" s="33"/>
      <c r="Q10" s="19"/>
    </row>
    <row r="11" spans="1:54" ht="8.25" customHeight="1">
      <c r="B11" s="21"/>
      <c r="C11" s="30"/>
      <c r="D11" s="112"/>
      <c r="E11"/>
      <c r="F11"/>
      <c r="G11"/>
      <c r="H11"/>
      <c r="I11"/>
      <c r="J11" s="29"/>
      <c r="K11" s="29"/>
      <c r="L11" s="29"/>
      <c r="M11" s="33"/>
      <c r="N11" s="33"/>
      <c r="O11" s="33"/>
      <c r="P11" s="33"/>
      <c r="Q11" s="19"/>
    </row>
    <row r="12" spans="1:54" ht="24.75" customHeight="1">
      <c r="B12" s="21"/>
      <c r="C12" s="21"/>
      <c r="D12" s="113" t="s">
        <v>85</v>
      </c>
      <c r="E12" s="190">
        <f>'Overview Page'!C65</f>
        <v>0</v>
      </c>
      <c r="F12" s="37"/>
      <c r="G12" s="29"/>
      <c r="H12" s="29"/>
      <c r="I12" s="29"/>
      <c r="J12" s="29"/>
      <c r="K12" s="38"/>
      <c r="L12" s="20"/>
      <c r="M12" s="39"/>
      <c r="N12" s="39"/>
      <c r="O12" s="19"/>
      <c r="P12" s="39"/>
      <c r="Q12" s="19"/>
    </row>
    <row r="13" spans="1:54" ht="37.5" customHeight="1">
      <c r="B13" s="21"/>
      <c r="C13" s="270" t="s">
        <v>0</v>
      </c>
      <c r="D13" s="270" t="s">
        <v>1</v>
      </c>
      <c r="E13" s="271" t="s">
        <v>2</v>
      </c>
      <c r="F13" s="270" t="s">
        <v>19</v>
      </c>
      <c r="G13" s="272" t="s">
        <v>20</v>
      </c>
      <c r="H13" s="270" t="s">
        <v>4</v>
      </c>
      <c r="I13" s="270" t="s">
        <v>374</v>
      </c>
      <c r="J13" s="20"/>
      <c r="K13" s="20"/>
      <c r="L13" s="106" t="s">
        <v>5</v>
      </c>
      <c r="M13" s="105" t="s">
        <v>68</v>
      </c>
      <c r="N13" s="40"/>
      <c r="O13" s="85"/>
      <c r="P13" s="85"/>
      <c r="R13" s="29"/>
      <c r="S13" s="29"/>
      <c r="T13" s="1"/>
      <c r="U13" s="1"/>
      <c r="V13" s="1"/>
      <c r="W13" s="1"/>
      <c r="X13" s="29"/>
      <c r="Y13" s="29"/>
      <c r="Z13" s="29"/>
      <c r="AA13" s="29"/>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row>
    <row r="14" spans="1:54" ht="11.25" customHeight="1">
      <c r="A14" s="17" t="s">
        <v>55</v>
      </c>
      <c r="B14" s="21" t="s">
        <v>55</v>
      </c>
      <c r="C14" s="42"/>
      <c r="D14" s="43"/>
      <c r="E14" s="43"/>
      <c r="F14" s="43"/>
      <c r="G14" s="43"/>
      <c r="H14" s="279"/>
      <c r="I14" s="269"/>
      <c r="J14" s="20"/>
      <c r="K14" s="20"/>
      <c r="L14" s="70"/>
      <c r="M14" s="102"/>
      <c r="N14" s="40"/>
      <c r="O14" s="85"/>
      <c r="P14" s="85"/>
      <c r="R14" s="29"/>
      <c r="S14" s="29"/>
      <c r="T14" s="1"/>
      <c r="U14" s="1"/>
      <c r="V14" s="1"/>
      <c r="W14" s="1"/>
      <c r="X14" s="29"/>
      <c r="Y14" s="29"/>
      <c r="Z14" s="29"/>
      <c r="AA14" s="29"/>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row>
    <row r="15" spans="1:54" ht="31.5" customHeight="1">
      <c r="A15" s="17" t="s">
        <v>55</v>
      </c>
      <c r="B15" s="19" t="s">
        <v>55</v>
      </c>
      <c r="C15" s="110" t="s">
        <v>29</v>
      </c>
      <c r="D15" s="284" t="s">
        <v>75</v>
      </c>
      <c r="E15" s="80"/>
      <c r="F15" s="81"/>
      <c r="G15" s="81"/>
      <c r="H15" s="277"/>
      <c r="I15" s="256"/>
      <c r="J15" s="20"/>
      <c r="K15" s="20"/>
      <c r="L15" s="52"/>
      <c r="M15" s="102"/>
      <c r="N15" s="86"/>
      <c r="O15" s="85"/>
      <c r="P15" s="87"/>
      <c r="Q15" s="20"/>
      <c r="T15" s="285"/>
      <c r="U15" s="285"/>
      <c r="V15" s="285"/>
      <c r="W15" s="285"/>
    </row>
    <row r="16" spans="1:54" ht="20.25" customHeight="1">
      <c r="A16" s="19">
        <f>COUNTIF($L$16:$L16,"TRUE")</f>
        <v>0</v>
      </c>
      <c r="B16" s="19">
        <f>COUNTIF($L$16:L16,"TRUE")</f>
        <v>0</v>
      </c>
      <c r="C16" s="90" t="str">
        <f>IF($M$4=1,DataValTab!E5,
IF($M$4=2,DataValTab!K5,
""))</f>
        <v/>
      </c>
      <c r="D16" s="90" t="str">
        <f>IF($M$4=1,DataValTab!F5,
IF($M$4=2,DataValTab!L5,
""))</f>
        <v/>
      </c>
      <c r="E16" s="44"/>
      <c r="F16" s="45" t="str">
        <f>IF($M$4=1,DataValTab!I5,
IF($M$4=2,DataValTab!O5,
""))</f>
        <v/>
      </c>
      <c r="G16" s="196" t="str">
        <f>IF($M$4=1,DataValTab!G5,
IF($M$4=2,DataValTab!M5,
""))</f>
        <v/>
      </c>
      <c r="H16" s="46" t="str">
        <f>IF($M$4=1,DataValTab!H5,
IF($M$4=2,DataValTab!N5,
""))</f>
        <v/>
      </c>
      <c r="I16" s="273" t="str">
        <f>IF($M$4=1,DataValTab!J5,
IF($M$4=2,DataValTab!P5,
""))</f>
        <v/>
      </c>
      <c r="J16" s="20"/>
      <c r="K16" s="20"/>
      <c r="L16" s="73" t="b">
        <v>0</v>
      </c>
      <c r="M16" s="103" t="str">
        <f>IF($M$4=1,DataValTab!J50,
IF($M$4=2,DataValTab!P50,
""))</f>
        <v/>
      </c>
      <c r="N16" s="88"/>
      <c r="O16" s="85"/>
      <c r="P16" s="85"/>
      <c r="R16" s="29"/>
      <c r="S16" s="29"/>
      <c r="T16" s="1"/>
      <c r="U16" s="1"/>
      <c r="V16" s="1"/>
      <c r="W16" s="1"/>
      <c r="X16" s="29"/>
      <c r="Y16" s="29"/>
      <c r="Z16" s="29"/>
      <c r="AA16" s="29"/>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60" ht="20.25" customHeight="1">
      <c r="A17" s="19">
        <f>COUNTIF($L$16:$L17,"TRUE")</f>
        <v>0</v>
      </c>
      <c r="B17" s="19">
        <f>COUNTIF($L$16:L17,"TRUE")</f>
        <v>0</v>
      </c>
      <c r="C17" s="90" t="str">
        <f>IF($M$4=1,DataValTab!E6,
IF($M$4=2,DataValTab!K6,
""))</f>
        <v/>
      </c>
      <c r="D17" s="90" t="str">
        <f>IF($M$4=1,DataValTab!F6,
IF($M$4=2,DataValTab!L6,
""))</f>
        <v/>
      </c>
      <c r="E17" s="44"/>
      <c r="F17" s="45" t="str">
        <f>IF($M$4=1,DataValTab!I6,
IF($M$4=2,DataValTab!O6,
""))</f>
        <v/>
      </c>
      <c r="G17" s="196" t="str">
        <f>IF($M$4=1,DataValTab!G6,
IF($M$4=2,DataValTab!M6,
""))</f>
        <v/>
      </c>
      <c r="H17" s="46" t="str">
        <f>IF($M$4=1,DataValTab!H6,
IF($M$4=2,DataValTab!N6,
""))</f>
        <v/>
      </c>
      <c r="I17" s="273" t="str">
        <f>IF($M$4=1,DataValTab!J6,
IF($M$4=2,DataValTab!P6,
""))</f>
        <v/>
      </c>
      <c r="J17" s="20"/>
      <c r="K17" s="20"/>
      <c r="L17" s="73" t="b">
        <v>0</v>
      </c>
      <c r="M17" s="103" t="str">
        <f>IF($M$4=1,DataValTab!J51,
IF($M$4=2,DataValTab!P51,
""))</f>
        <v/>
      </c>
      <c r="N17" s="88"/>
      <c r="O17" s="85"/>
      <c r="P17" s="85"/>
      <c r="T17" s="1"/>
      <c r="U17" s="1"/>
      <c r="V17" s="1"/>
      <c r="W17" s="1"/>
    </row>
    <row r="18" spans="1:60" ht="20.25" customHeight="1">
      <c r="A18" s="19">
        <f>COUNTIF($L$16:$L18,"TRUE")</f>
        <v>0</v>
      </c>
      <c r="B18" s="19">
        <f>COUNTIF($L$16:L18,"TRUE")</f>
        <v>0</v>
      </c>
      <c r="C18" s="90" t="str">
        <f>IF($M$4=1,DataValTab!E7,
IF($M$4=2,DataValTab!K7,
""))</f>
        <v/>
      </c>
      <c r="D18" s="90" t="str">
        <f>IF($M$4=1,DataValTab!F7,
IF($M$4=2,DataValTab!L7,
""))</f>
        <v/>
      </c>
      <c r="E18" s="44"/>
      <c r="F18" s="45" t="str">
        <f>IF($M$4=1,DataValTab!I7,
IF($M$4=2,DataValTab!O7,
""))</f>
        <v/>
      </c>
      <c r="G18" s="196" t="str">
        <f>IF($M$4=1,DataValTab!G7,
IF($M$4=2,DataValTab!M7,
""))</f>
        <v/>
      </c>
      <c r="H18" s="46" t="str">
        <f>IF($M$4=1,DataValTab!H7,
IF($M$4=2,DataValTab!N7,
""))</f>
        <v/>
      </c>
      <c r="I18" s="273" t="str">
        <f>IF($M$4=1,DataValTab!J7,
IF($M$4=2,DataValTab!P7,
""))</f>
        <v/>
      </c>
      <c r="J18" s="20"/>
      <c r="K18" s="20"/>
      <c r="L18" s="73" t="b">
        <v>0</v>
      </c>
      <c r="M18" s="103" t="str">
        <f>IF($M$4=1,DataValTab!J52,
IF($M$4=2,DataValTab!P52,
""))</f>
        <v/>
      </c>
      <c r="N18" s="88"/>
      <c r="O18" s="85"/>
      <c r="P18" s="85"/>
      <c r="R18" s="29"/>
      <c r="S18" s="29"/>
      <c r="T18" s="1"/>
      <c r="U18" s="1"/>
      <c r="V18" s="1"/>
      <c r="W18" s="1"/>
      <c r="X18" s="29"/>
      <c r="Y18" s="29"/>
      <c r="Z18" s="29"/>
      <c r="AA18" s="29"/>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row>
    <row r="19" spans="1:60" ht="20.25" customHeight="1">
      <c r="A19" s="19">
        <f>COUNTIF($L$16:$L19,"TRUE")</f>
        <v>0</v>
      </c>
      <c r="B19" s="19">
        <f>COUNTIF($L$16:L19,"TRUE")</f>
        <v>0</v>
      </c>
      <c r="C19" s="90" t="str">
        <f>IF($M$4=1,DataValTab!E8,
IF($M$4=2,DataValTab!K8,
""))</f>
        <v/>
      </c>
      <c r="D19" s="90" t="str">
        <f>IF($M$4=1,DataValTab!F8,
IF($M$4=2,DataValTab!L8,
""))</f>
        <v/>
      </c>
      <c r="E19" s="44"/>
      <c r="F19" s="45" t="str">
        <f>IF($M$4=1,DataValTab!I8,
IF($M$4=2,DataValTab!O8,
""))</f>
        <v/>
      </c>
      <c r="G19" s="196" t="str">
        <f>IF($M$4=1,DataValTab!G8,
IF($M$4=2,DataValTab!M8,
""))</f>
        <v/>
      </c>
      <c r="H19" s="46" t="str">
        <f>IF($M$4=1,DataValTab!H8,
IF($M$4=2,DataValTab!N8,
""))</f>
        <v/>
      </c>
      <c r="I19" s="273" t="str">
        <f>IF($M$4=1,DataValTab!J8,
IF($M$4=2,DataValTab!P8,
""))</f>
        <v/>
      </c>
      <c r="J19" s="20"/>
      <c r="K19" s="20"/>
      <c r="L19" s="73" t="b">
        <v>0</v>
      </c>
      <c r="M19" s="103" t="str">
        <f>IF($M$4=1,DataValTab!J53,
IF($M$4=2,DataValTab!P53,
""))</f>
        <v/>
      </c>
      <c r="N19" s="88"/>
      <c r="O19" s="85"/>
      <c r="P19" s="85"/>
      <c r="R19" s="29"/>
      <c r="S19" s="29"/>
      <c r="T19" s="1"/>
      <c r="U19" s="1"/>
      <c r="V19" s="1"/>
      <c r="W19" s="1"/>
      <c r="X19" s="29"/>
      <c r="Y19" s="29"/>
      <c r="Z19" s="29"/>
      <c r="AA19" s="29"/>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row>
    <row r="20" spans="1:60" ht="20.25" customHeight="1">
      <c r="A20" s="19">
        <f>COUNTIF($L$16:$L20,"TRUE")</f>
        <v>0</v>
      </c>
      <c r="B20" s="19">
        <f>COUNTIF($L$16:L20,"TRUE")</f>
        <v>0</v>
      </c>
      <c r="C20" s="90" t="str">
        <f>IF($M$4=1,DataValTab!E9,
IF($M$4=2,DataValTab!K9,
""))</f>
        <v/>
      </c>
      <c r="D20" s="90" t="str">
        <f>IF($M$4=1,DataValTab!F9,
IF($M$4=2,DataValTab!L9,
""))</f>
        <v/>
      </c>
      <c r="E20" s="44"/>
      <c r="F20" s="45" t="str">
        <f>IF($M$4=1,DataValTab!I9,
IF($M$4=2,DataValTab!O9,
""))</f>
        <v/>
      </c>
      <c r="G20" s="196" t="str">
        <f>IF($M$4=1,DataValTab!G9,
IF($M$4=2,DataValTab!M9,
""))</f>
        <v/>
      </c>
      <c r="H20" s="46" t="str">
        <f>IF($M$4=1,DataValTab!H9,
IF($M$4=2,DataValTab!N9,
""))</f>
        <v/>
      </c>
      <c r="I20" s="273" t="str">
        <f>IF($M$4=1,DataValTab!J9,
IF($M$4=2,DataValTab!P9,
""))</f>
        <v/>
      </c>
      <c r="J20" s="20"/>
      <c r="K20" s="20"/>
      <c r="L20" s="73" t="b">
        <v>0</v>
      </c>
      <c r="M20" s="103" t="str">
        <f>IF($M$4=1,DataValTab!J54,
IF($M$4=2,DataValTab!P54,
""))</f>
        <v/>
      </c>
      <c r="N20" s="88"/>
      <c r="O20" s="85"/>
      <c r="P20" s="85"/>
      <c r="R20" s="29"/>
      <c r="S20" s="29"/>
      <c r="T20" s="1"/>
      <c r="U20" s="1"/>
      <c r="V20" s="1"/>
      <c r="W20" s="1"/>
      <c r="X20" s="29"/>
      <c r="Y20" s="29"/>
      <c r="Z20" s="29"/>
      <c r="AA20" s="29"/>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row>
    <row r="21" spans="1:60" ht="20.25" customHeight="1">
      <c r="A21" s="19">
        <f>COUNTIF($L$16:$L21,"TRUE")</f>
        <v>0</v>
      </c>
      <c r="B21" s="19">
        <f>COUNTIF($L$16:L21,"TRUE")</f>
        <v>0</v>
      </c>
      <c r="C21" s="90" t="str">
        <f>IF($M$4=1,DataValTab!E10,
IF($M$4=2,DataValTab!K10,
""))</f>
        <v/>
      </c>
      <c r="D21" s="90" t="str">
        <f>IF($M$4=1,DataValTab!F10,
IF($M$4=2,DataValTab!L10,
""))</f>
        <v/>
      </c>
      <c r="E21" s="44"/>
      <c r="F21" s="45" t="str">
        <f>IF($M$4=1,DataValTab!I10,
IF($M$4=2,DataValTab!O10,
""))</f>
        <v/>
      </c>
      <c r="G21" s="196" t="str">
        <f>IF($M$4=1,DataValTab!G10,
IF($M$4=2,DataValTab!M10,
""))</f>
        <v/>
      </c>
      <c r="H21" s="46" t="str">
        <f>IF($M$4=1,DataValTab!H10,
IF($M$4=2,DataValTab!N10,
""))</f>
        <v/>
      </c>
      <c r="I21" s="273" t="str">
        <f>IF($M$4=1,DataValTab!J10,
IF($M$4=2,DataValTab!P10,
""))</f>
        <v/>
      </c>
      <c r="J21" s="20"/>
      <c r="K21" s="20"/>
      <c r="L21" s="73" t="b">
        <v>0</v>
      </c>
      <c r="M21" s="103" t="str">
        <f>IF($M$4=1,DataValTab!J55,
IF($M$4=2,DataValTab!P56,
""))</f>
        <v/>
      </c>
      <c r="N21" s="88"/>
      <c r="O21" s="85"/>
      <c r="P21" s="85"/>
      <c r="T21" s="1"/>
      <c r="U21" s="1"/>
      <c r="V21" s="1"/>
      <c r="W21" s="1"/>
    </row>
    <row r="22" spans="1:60" ht="20.25" customHeight="1">
      <c r="A22" s="19">
        <f>COUNTIF($L$16:$L22,"TRUE")</f>
        <v>0</v>
      </c>
      <c r="B22" s="19">
        <f>COUNTIF($L$16:L22,"TRUE")</f>
        <v>0</v>
      </c>
      <c r="C22" s="90" t="str">
        <f>IF($M$4=1,"",
IF($M$4=2,DataValTab!K11,
""))</f>
        <v/>
      </c>
      <c r="D22" s="90" t="str">
        <f>IF($M$4=1,"",
IF($M$4=2,DataValTab!L11,
""))</f>
        <v/>
      </c>
      <c r="E22" s="282" t="str">
        <f>IF($M$4=1, "", IF($M$4=2, "'",""))</f>
        <v/>
      </c>
      <c r="F22" s="45" t="str">
        <f>IF($M$4=1,"",
IF($M$4=2,DataValTab!O11,
""))</f>
        <v/>
      </c>
      <c r="G22" s="196" t="str">
        <f>IF($M$4=1,"",
IF($M$4=2,DataValTab!M11,
""))</f>
        <v/>
      </c>
      <c r="H22" s="265" t="str">
        <f>IF($M$4=1,"",
IF($M$4=2,DataValTab!N11,
""))</f>
        <v/>
      </c>
      <c r="I22" s="273" t="str">
        <f>IF($M$4=1,"",
IF($M$4=2,DataValTab!P11,
""))</f>
        <v/>
      </c>
      <c r="J22" s="20"/>
      <c r="K22" s="20"/>
      <c r="L22" s="73" t="b">
        <v>0</v>
      </c>
      <c r="M22" s="103" t="str">
        <f>IF($M$4=1,"",
IF($M$4=2,DataValTab!P57,
""))</f>
        <v/>
      </c>
      <c r="N22" s="88"/>
      <c r="O22" s="85"/>
      <c r="P22" s="85"/>
      <c r="T22" s="1"/>
      <c r="U22" s="1"/>
      <c r="V22" s="1"/>
      <c r="W22" s="1"/>
    </row>
    <row r="23" spans="1:60" ht="12.75" customHeight="1">
      <c r="A23" s="19" t="s">
        <v>55</v>
      </c>
      <c r="B23" s="19" t="s">
        <v>55</v>
      </c>
      <c r="C23" s="47"/>
      <c r="D23" s="48"/>
      <c r="E23" s="49"/>
      <c r="F23" s="50"/>
      <c r="G23" s="51"/>
      <c r="H23" s="278"/>
      <c r="I23" s="274"/>
      <c r="J23" s="20"/>
      <c r="K23" s="20"/>
      <c r="L23" s="73"/>
      <c r="M23" s="103"/>
      <c r="N23" s="88"/>
      <c r="O23" s="85"/>
      <c r="P23" s="85"/>
    </row>
    <row r="24" spans="1:60" s="134" customFormat="1" ht="31.5" customHeight="1">
      <c r="A24" s="342" t="s">
        <v>55</v>
      </c>
      <c r="B24" s="342" t="s">
        <v>55</v>
      </c>
      <c r="C24" s="355" t="s">
        <v>580</v>
      </c>
      <c r="D24" s="343" t="str">
        <f>IF(M4=0,"",IF(M4=1,"If you are unable to report on one or more of the adult mandatory measures above, you may select an alternative mandatory measure from the pediatric mandatory measures below.",IF(M4=2,"If you are unable to report on one or more of the pediatric mandatory measures above, you may select an alternative mandatory measure from the adult mandatory measures below.")))</f>
        <v/>
      </c>
      <c r="E24" s="344"/>
      <c r="F24" s="344"/>
      <c r="G24" s="344"/>
      <c r="H24" s="345"/>
      <c r="I24" s="275"/>
      <c r="J24" s="145"/>
      <c r="K24" s="145"/>
      <c r="L24" s="346"/>
      <c r="M24" s="347"/>
      <c r="N24" s="348"/>
      <c r="O24" s="58"/>
      <c r="P24" s="58"/>
      <c r="Q24" s="349"/>
      <c r="R24" s="342"/>
      <c r="S24" s="342"/>
      <c r="T24" s="342"/>
      <c r="U24" s="342"/>
      <c r="V24" s="342"/>
      <c r="W24" s="342"/>
      <c r="X24" s="342"/>
      <c r="Y24" s="342"/>
      <c r="Z24" s="342"/>
      <c r="AA24" s="342"/>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s="134" customFormat="1" ht="20.25" customHeight="1">
      <c r="A25" s="342">
        <f>COUNTIF($L$16:$L25,"TRUE")</f>
        <v>0</v>
      </c>
      <c r="B25" s="342">
        <f>COUNTIF($L$25:L25,"TRUE")</f>
        <v>0</v>
      </c>
      <c r="C25" s="90" t="str">
        <f>IF($M$4=1,DataValTab!E12,
IF($M$4=2,DataValTab!K12,
""))</f>
        <v/>
      </c>
      <c r="D25" s="90" t="str">
        <f>IF($M$4=1,DataValTab!F12,
IF($M$4=2,DataValTab!L12,
""))</f>
        <v/>
      </c>
      <c r="E25" s="350"/>
      <c r="F25" s="351" t="str">
        <f>IF($M$4=1,DataValTab!I12,
IF($M$4=2,DataValTab!O12,
""))</f>
        <v/>
      </c>
      <c r="G25" s="352" t="str">
        <f>IF($M$4=1,DataValTab!G12,
IF($M$4=2,DataValTab!M12,
""))</f>
        <v/>
      </c>
      <c r="H25" s="352" t="str">
        <f>IF($M$4=1,DataValTab!H12,
IF($M$4=2,DataValTab!N12,
""))</f>
        <v/>
      </c>
      <c r="I25" s="273" t="str">
        <f>IF($M$4=1,DataValTab!J12,
IF($M$4=2,DataValTab!P12,
""))</f>
        <v/>
      </c>
      <c r="J25" s="145"/>
      <c r="K25" s="145"/>
      <c r="L25" s="73" t="b">
        <v>0</v>
      </c>
      <c r="M25" s="103" t="str">
        <f>IF($M$4=1,DataValTab!J56,
IF($M$4=2,DataValTab!P58,
""))</f>
        <v/>
      </c>
      <c r="N25" s="348"/>
      <c r="O25" s="58"/>
      <c r="P25" s="58"/>
      <c r="Q25" s="349"/>
      <c r="R25" s="342"/>
      <c r="S25" s="342"/>
      <c r="T25" s="342"/>
      <c r="U25" s="342"/>
      <c r="V25" s="342"/>
      <c r="W25" s="342"/>
      <c r="X25" s="342"/>
      <c r="Y25" s="342"/>
      <c r="Z25" s="342"/>
      <c r="AA25" s="342"/>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s="134" customFormat="1" ht="20.25" customHeight="1">
      <c r="A26" s="342">
        <f>COUNTIF($L$16:$L26,"TRUE")</f>
        <v>0</v>
      </c>
      <c r="B26" s="342">
        <f>COUNTIF($L$25:L26,"TRUE")</f>
        <v>0</v>
      </c>
      <c r="C26" s="90" t="str">
        <f>IF($M$4=1,DataValTab!E13,
IF($M$4=2,DataValTab!K13,
""))</f>
        <v/>
      </c>
      <c r="D26" s="90" t="str">
        <f>IF($M$4=1,DataValTab!F13,
IF($M$4=2,DataValTab!L13,
""))</f>
        <v/>
      </c>
      <c r="E26" s="353"/>
      <c r="F26" s="351" t="str">
        <f>IF($M$4=1,DataValTab!I13,
IF($M$4=2,DataValTab!O13,
""))</f>
        <v/>
      </c>
      <c r="G26" s="352" t="str">
        <f>IF($M$4=1,DataValTab!G13,
IF($M$4=2,DataValTab!M13,
""))</f>
        <v/>
      </c>
      <c r="H26" s="352" t="str">
        <f>IF($M$4=1,DataValTab!H13,
IF($M$4=2,DataValTab!N13,
""))</f>
        <v/>
      </c>
      <c r="I26" s="273" t="str">
        <f>IF($M$4=1,DataValTab!J13,
IF($M$4=2,DataValTab!P13,
""))</f>
        <v/>
      </c>
      <c r="J26" s="145"/>
      <c r="K26" s="145"/>
      <c r="L26" s="73" t="b">
        <v>0</v>
      </c>
      <c r="M26" s="103" t="str">
        <f>IF($M$4=1,DataValTab!J57,
IF($M$4=2,DataValTab!P59,
""))</f>
        <v/>
      </c>
      <c r="N26" s="348"/>
      <c r="O26" s="58"/>
      <c r="P26" s="58"/>
      <c r="Q26" s="349"/>
      <c r="R26" s="342"/>
      <c r="S26" s="342"/>
      <c r="T26" s="342"/>
      <c r="U26" s="342"/>
      <c r="V26" s="342"/>
      <c r="W26" s="342"/>
      <c r="X26" s="342"/>
      <c r="Y26" s="342"/>
      <c r="Z26" s="342"/>
      <c r="AA26" s="342"/>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s="134" customFormat="1" ht="20.25" customHeight="1">
      <c r="A27" s="342">
        <f>COUNTIF($L$16:$L27,"TRUE")</f>
        <v>0</v>
      </c>
      <c r="B27" s="342">
        <f>COUNTIF($L$25:L27,"TRUE")</f>
        <v>0</v>
      </c>
      <c r="C27" s="90" t="str">
        <f>IF($M$4=1,DataValTab!E14,
IF($M$4=2,DataValTab!K14,
""))</f>
        <v/>
      </c>
      <c r="D27" s="90" t="str">
        <f>IF($M$4=1,DataValTab!F14,
IF($M$4=2,DataValTab!L14,
""))</f>
        <v/>
      </c>
      <c r="E27" s="353"/>
      <c r="F27" s="351" t="str">
        <f>IF($M$4=1,DataValTab!I14,
IF($M$4=2,DataValTab!O14,
""))</f>
        <v/>
      </c>
      <c r="G27" s="352" t="str">
        <f>IF($M$4=1,DataValTab!G14,
IF($M$4=2,DataValTab!M14,
""))</f>
        <v/>
      </c>
      <c r="H27" s="383" t="str">
        <f>IF($M$4=1,DataValTab!H14,
IF($M$4=2,DataValTab!N14,
""))</f>
        <v/>
      </c>
      <c r="I27" s="273" t="str">
        <f>IF($M$4=1,DataValTab!J14,
IF($M$4=2,DataValTab!P14,
""))</f>
        <v/>
      </c>
      <c r="J27" s="145"/>
      <c r="K27" s="145"/>
      <c r="L27" s="73" t="b">
        <v>0</v>
      </c>
      <c r="M27" s="103" t="str">
        <f>IF($M$4=1,DataValTab!J58,
IF($M$4=2,DataValTab!P60,
""))</f>
        <v/>
      </c>
      <c r="N27" s="348"/>
      <c r="O27" s="58"/>
      <c r="P27" s="58"/>
      <c r="Q27" s="349"/>
      <c r="R27" s="342"/>
      <c r="S27" s="342"/>
      <c r="T27" s="342"/>
      <c r="U27" s="342"/>
      <c r="V27" s="342"/>
      <c r="W27" s="342"/>
      <c r="X27" s="342"/>
      <c r="Y27" s="342"/>
      <c r="Z27" s="342"/>
      <c r="AA27" s="342"/>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s="134" customFormat="1" ht="20.25" customHeight="1">
      <c r="A28" s="342">
        <f>COUNTIF($L$16:$L28,"TRUE")</f>
        <v>0</v>
      </c>
      <c r="B28" s="342">
        <f>COUNTIF($L$25:L28,"TRUE")</f>
        <v>0</v>
      </c>
      <c r="C28" s="90" t="str">
        <f>IF($M$4=1,DataValTab!E15,
IF($M$4=2,DataValTab!K15,
""))</f>
        <v/>
      </c>
      <c r="D28" s="90" t="str">
        <f>IF($M$4=1,DataValTab!F15,
IF($M$4=2,DataValTab!L15,
""))</f>
        <v/>
      </c>
      <c r="E28" s="350"/>
      <c r="F28" s="351" t="str">
        <f>IF($M$4=1,DataValTab!I15,
IF($M$4=2,DataValTab!O15,
""))</f>
        <v/>
      </c>
      <c r="G28" s="352" t="str">
        <f>IF($M$4=1,DataValTab!G15,
IF($M$4=2,DataValTab!M15,
""))</f>
        <v/>
      </c>
      <c r="H28" s="352" t="str">
        <f>IF($M$4=1,DataValTab!H15,
IF($M$4=2,DataValTab!N15,
""))</f>
        <v/>
      </c>
      <c r="I28" s="273" t="str">
        <f>IF($M$4=1,DataValTab!J15,
IF($M$4=2,DataValTab!P15,
""))</f>
        <v/>
      </c>
      <c r="J28" s="145"/>
      <c r="K28" s="145"/>
      <c r="L28" s="73" t="b">
        <v>0</v>
      </c>
      <c r="M28" s="103" t="str">
        <f>IF($M$4=1,DataValTab!J59,
IF($M$4=2,DataValTab!P61,
""))</f>
        <v/>
      </c>
      <c r="N28" s="348"/>
      <c r="O28" s="58"/>
      <c r="P28" s="58"/>
      <c r="Q28" s="349"/>
      <c r="R28" s="342"/>
      <c r="S28" s="342"/>
      <c r="T28" s="342"/>
      <c r="U28" s="342"/>
      <c r="V28" s="342"/>
      <c r="W28" s="342"/>
      <c r="X28" s="342"/>
      <c r="Y28" s="342"/>
      <c r="Z28" s="342"/>
      <c r="AA28" s="342"/>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s="134" customFormat="1" ht="20.25" customHeight="1">
      <c r="A29" s="342">
        <f>COUNTIF($L$16:$L29,"TRUE")</f>
        <v>0</v>
      </c>
      <c r="B29" s="342">
        <f>COUNTIF($L$25:L29,"TRUE")</f>
        <v>0</v>
      </c>
      <c r="C29" s="90" t="str">
        <f>IF($M$4=1,DataValTab!E16,
IF($M$4=2,DataValTab!K16,
""))</f>
        <v/>
      </c>
      <c r="D29" s="90" t="str">
        <f>IF($M$4=1,DataValTab!F16,
IF($M$4=2,DataValTab!L16,
""))</f>
        <v/>
      </c>
      <c r="E29" s="350"/>
      <c r="F29" s="351" t="str">
        <f>IF($M$4=1,DataValTab!I16,
IF($M$4=2,DataValTab!O16,
""))</f>
        <v/>
      </c>
      <c r="G29" s="352" t="str">
        <f>IF($M$4=1,DataValTab!G16,
IF($M$4=2,DataValTab!M16,
""))</f>
        <v/>
      </c>
      <c r="H29" s="352" t="str">
        <f>IF($M$4=1,DataValTab!H16,
IF($M$4=2,DataValTab!N16,
""))</f>
        <v/>
      </c>
      <c r="I29" s="273" t="str">
        <f>IF($M$4=1,DataValTab!J16,
IF($M$4=2,DataValTab!P16,
""))</f>
        <v/>
      </c>
      <c r="J29" s="145"/>
      <c r="K29" s="145"/>
      <c r="L29" s="73" t="b">
        <v>0</v>
      </c>
      <c r="M29" s="103" t="str">
        <f>IF($M$4=1,DataValTab!J60,
IF($M$4=2,DataValTab!P62,
""))</f>
        <v/>
      </c>
      <c r="N29" s="348"/>
      <c r="O29" s="58"/>
      <c r="P29" s="145"/>
      <c r="Q29" s="145"/>
      <c r="R29" s="342"/>
      <c r="S29" s="342"/>
      <c r="T29" s="342"/>
      <c r="U29" s="342"/>
      <c r="V29" s="342"/>
      <c r="W29" s="342"/>
      <c r="X29" s="342"/>
      <c r="Y29" s="342"/>
      <c r="Z29" s="342"/>
      <c r="AA29" s="342"/>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s="134" customFormat="1" ht="20.25" customHeight="1">
      <c r="A30" s="342">
        <f>COUNTIF($L$16:$L30,"TRUE")</f>
        <v>0</v>
      </c>
      <c r="B30" s="342">
        <f>COUNTIF($L$25:L30,"TRUE")</f>
        <v>0</v>
      </c>
      <c r="C30" s="90" t="str">
        <f>IF($M$4=1,DataValTab!E17,
IF($M$4=2,DataValTab!K17,
""))</f>
        <v/>
      </c>
      <c r="D30" s="90" t="str">
        <f>IF($M$4=1,DataValTab!F17,
IF($M$4=2,DataValTab!L17,
""))</f>
        <v/>
      </c>
      <c r="E30" s="350"/>
      <c r="F30" s="351" t="str">
        <f>IF($M$4=1,DataValTab!I17,
IF($M$4=2,DataValTab!O17,
""))</f>
        <v/>
      </c>
      <c r="G30" s="352" t="str">
        <f>IF($M$4=1,DataValTab!G17,
IF($M$4=2,DataValTab!M17,
""))</f>
        <v/>
      </c>
      <c r="H30" s="352" t="str">
        <f>IF($M$4=1,DataValTab!H17,
IF($M$4=2,DataValTab!N17,
""))</f>
        <v/>
      </c>
      <c r="I30" s="273" t="str">
        <f>IF($M$4=1,DataValTab!J17,
IF($M$4=2,DataValTab!P17,
""))</f>
        <v/>
      </c>
      <c r="J30" s="145"/>
      <c r="K30" s="145"/>
      <c r="L30" s="73" t="b">
        <v>0</v>
      </c>
      <c r="M30" s="103" t="str">
        <f>IF($M$4=1,DataValTab!J62,
IF($M$4=2,DataValTab!P63,
""))</f>
        <v/>
      </c>
      <c r="N30" s="348"/>
      <c r="O30" s="58"/>
      <c r="P30" s="145"/>
      <c r="Q30" s="145"/>
      <c r="R30" s="342"/>
      <c r="S30" s="342"/>
      <c r="T30" s="342"/>
      <c r="U30" s="342"/>
      <c r="V30" s="342"/>
      <c r="W30" s="342"/>
      <c r="X30" s="342"/>
      <c r="Y30" s="342"/>
      <c r="Z30" s="342"/>
      <c r="AA30" s="342"/>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s="134" customFormat="1" ht="20.25" customHeight="1">
      <c r="A31" s="342">
        <f>COUNTIF($L$16:$L31,"TRUE")</f>
        <v>0</v>
      </c>
      <c r="B31" s="342">
        <f>COUNTIF($L$25:L31,"TRUE")</f>
        <v>0</v>
      </c>
      <c r="C31" s="90" t="str">
        <f>IF($M$4=1,DataValTab!E18,
IF($M$4=2,"",
""))</f>
        <v/>
      </c>
      <c r="D31" s="90" t="str">
        <f>IF($M$4=1,DataValTab!F18,
IF($M$4=2,"",
""))</f>
        <v/>
      </c>
      <c r="E31" s="350"/>
      <c r="F31" s="351" t="str">
        <f>IF($M$4=1,DataValTab!I18,
IF($M$4=2,"",
""))</f>
        <v/>
      </c>
      <c r="G31" s="352" t="str">
        <f>IF($M$4=1,DataValTab!G18,
IF($M$4=2,"",
""))</f>
        <v/>
      </c>
      <c r="H31" s="383" t="str">
        <f>IF($M$4=1,DataValTab!H18,
IF($M$4=2,"",
""))</f>
        <v/>
      </c>
      <c r="I31" s="273" t="str">
        <f>IF($M$4=1,DataValTab!J18,
IF($M$4=2,"",
""))</f>
        <v/>
      </c>
      <c r="J31" s="145"/>
      <c r="K31" s="145"/>
      <c r="L31" s="73" t="b">
        <v>0</v>
      </c>
      <c r="M31" s="103" t="str">
        <f>IF($M$4=1,DataValTab!J63,
IF($M$4=2,"",
""))</f>
        <v/>
      </c>
      <c r="N31" s="348"/>
      <c r="O31" s="58"/>
      <c r="P31" s="145"/>
      <c r="Q31" s="145"/>
      <c r="R31" s="342"/>
      <c r="S31" s="342"/>
      <c r="T31" s="342"/>
      <c r="U31" s="342"/>
      <c r="V31" s="342"/>
      <c r="W31" s="342"/>
      <c r="X31" s="342"/>
      <c r="Y31" s="342"/>
      <c r="Z31" s="342"/>
      <c r="AA31" s="342"/>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s="134" customFormat="1" ht="13.5" customHeight="1">
      <c r="A32" s="342" t="s">
        <v>55</v>
      </c>
      <c r="B32" s="342" t="s">
        <v>55</v>
      </c>
      <c r="C32" s="354"/>
      <c r="D32" s="53"/>
      <c r="E32" s="48"/>
      <c r="F32" s="54"/>
      <c r="G32" s="51"/>
      <c r="H32" s="278"/>
      <c r="I32" s="274"/>
      <c r="J32" s="145"/>
      <c r="K32" s="145"/>
      <c r="L32" s="73"/>
      <c r="M32" s="347"/>
      <c r="N32" s="348"/>
      <c r="O32" s="58"/>
      <c r="P32" s="145"/>
      <c r="Q32" s="145"/>
      <c r="R32" s="342"/>
      <c r="S32" s="342"/>
      <c r="T32" s="342"/>
      <c r="U32" s="342"/>
      <c r="V32" s="342"/>
      <c r="W32" s="342"/>
      <c r="X32" s="342"/>
      <c r="Y32" s="342"/>
      <c r="Z32" s="342"/>
      <c r="AA32" s="342"/>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17" ht="31.5" customHeight="1">
      <c r="A33" s="19" t="s">
        <v>55</v>
      </c>
      <c r="B33" s="19" t="s">
        <v>55</v>
      </c>
      <c r="C33" s="111" t="s">
        <v>76</v>
      </c>
      <c r="D33" s="286" t="s">
        <v>503</v>
      </c>
      <c r="E33" s="80"/>
      <c r="F33" s="82"/>
      <c r="G33" s="83"/>
      <c r="H33" s="275"/>
      <c r="I33" s="275"/>
      <c r="J33" s="20"/>
      <c r="K33" s="20"/>
      <c r="L33" s="73"/>
      <c r="M33" s="103"/>
      <c r="N33" s="88"/>
      <c r="O33" s="85"/>
      <c r="P33" s="85"/>
    </row>
    <row r="34" spans="1:17" ht="20.25" customHeight="1">
      <c r="A34" s="19">
        <f>COUNTIF($L$16:$L34,"TRUE")</f>
        <v>0</v>
      </c>
      <c r="B34" s="19">
        <f>COUNTIF($L$34,"TRUE")</f>
        <v>0</v>
      </c>
      <c r="C34" s="281" t="str">
        <f>IF($M$4=1,DataValTab!E19,
IF($M$4=2,DataValTab!K19,
""))</f>
        <v/>
      </c>
      <c r="D34" s="89" t="str">
        <f>IF($M$4=1,DataValTab!F19,
IF($M$4=2,DataValTab!L19,
""))</f>
        <v/>
      </c>
      <c r="E34" s="44"/>
      <c r="F34" s="45" t="str">
        <f>IF($M$4=1,DataValTab!I19,
IF($M$4=2,DataValTab!O19,
""))</f>
        <v/>
      </c>
      <c r="G34" s="196" t="str">
        <f>IF($M$4=1,DataValTab!G19,
IF($M$4=2,DataValTab!M19,
""))</f>
        <v/>
      </c>
      <c r="H34" s="384" t="str">
        <f>IF($M$4=1,DataValTab!H19,
IF($M$4=2,DataValTab!N19,
""))</f>
        <v/>
      </c>
      <c r="I34" s="273" t="str">
        <f>IF($M$4=1,DataValTab!J19,
IF($M$4=2,DataValTab!P19,
""))</f>
        <v/>
      </c>
      <c r="J34" s="20"/>
      <c r="K34" s="20"/>
      <c r="L34" s="73" t="b">
        <v>0</v>
      </c>
      <c r="M34" s="103" t="str">
        <f>IF($M$4=1,DataValTab!J64,
IF($M$4=2,DataValTab!P64,
""))</f>
        <v/>
      </c>
      <c r="N34" s="88"/>
      <c r="O34" s="85"/>
      <c r="P34" s="87"/>
      <c r="Q34" s="20"/>
    </row>
    <row r="35" spans="1:17" ht="20.25" customHeight="1">
      <c r="A35" s="19">
        <f>COUNTIF($L$16:$L35,"TRUE")</f>
        <v>0</v>
      </c>
      <c r="B35" s="19">
        <f>COUNTIF($L$34:L35,"TRUE")</f>
        <v>0</v>
      </c>
      <c r="C35" s="281" t="str">
        <f>IF($M$4=1,DataValTab!E20,
IF($M$4=2,DataValTab!K20,
""))</f>
        <v/>
      </c>
      <c r="D35" s="89" t="str">
        <f>IF($M$4=1,DataValTab!F20,
IF($M$4=2,DataValTab!L20,
""))</f>
        <v/>
      </c>
      <c r="E35" s="44"/>
      <c r="F35" s="45" t="str">
        <f>IF($M$4=1,DataValTab!I20,
IF($M$4=2,DataValTab!O20,
""))</f>
        <v/>
      </c>
      <c r="G35" s="196" t="str">
        <f>IF($M$4=1,DataValTab!G20,
IF($M$4=2,DataValTab!M20,
""))</f>
        <v/>
      </c>
      <c r="H35" s="384" t="str">
        <f>IF($M$4=1,DataValTab!H20,
IF($M$4=2,DataValTab!N20,
""))</f>
        <v/>
      </c>
      <c r="I35" s="273" t="str">
        <f>IF($M$4=1,DataValTab!J20,
IF($M$4=2,DataValTab!P20,
""))</f>
        <v/>
      </c>
      <c r="J35" s="20"/>
      <c r="K35" s="20"/>
      <c r="L35" s="73" t="b">
        <v>0</v>
      </c>
      <c r="M35" s="103" t="str">
        <f>IF($M$4=1,DataValTab!J65,
IF($M$4=2,DataValTab!P65,
""))</f>
        <v/>
      </c>
      <c r="N35" s="88"/>
      <c r="O35" s="85"/>
      <c r="P35" s="87"/>
      <c r="Q35" s="20"/>
    </row>
    <row r="36" spans="1:17" ht="20.25" customHeight="1">
      <c r="A36" s="19">
        <f>COUNTIF($L$16:$L36,"TRUE")</f>
        <v>0</v>
      </c>
      <c r="B36" s="19">
        <f>COUNTIF($L$34:L36,"TRUE")</f>
        <v>0</v>
      </c>
      <c r="C36" s="281" t="str">
        <f>IF($M$4=1,DataValTab!E21,
IF($M$4=2,DataValTab!K21,
""))</f>
        <v/>
      </c>
      <c r="D36" s="89" t="str">
        <f>IF($M$4=1,DataValTab!F21,
IF($M$4=2,DataValTab!L21,
""))</f>
        <v/>
      </c>
      <c r="E36" s="55"/>
      <c r="F36" s="45" t="str">
        <f>IF($M$4=1,DataValTab!I21,
IF($M$4=2,DataValTab!O21,
""))</f>
        <v/>
      </c>
      <c r="G36" s="196" t="str">
        <f>IF($M$4=1,DataValTab!G21,
IF($M$4=2,DataValTab!M21,
""))</f>
        <v/>
      </c>
      <c r="H36" s="384" t="str">
        <f>IF($M$4=1,DataValTab!H21,
IF($M$4=2,DataValTab!N21,
""))</f>
        <v/>
      </c>
      <c r="I36" s="273" t="str">
        <f>IF($M$4=1,DataValTab!J21,
IF($M$4=2,DataValTab!P21,
""))</f>
        <v/>
      </c>
      <c r="J36" s="20"/>
      <c r="K36" s="20"/>
      <c r="L36" s="73" t="b">
        <v>0</v>
      </c>
      <c r="M36" s="103" t="str">
        <f>IF($M$4=1,DataValTab!J66,
IF($M$4=2,DataValTab!P66,
""))</f>
        <v/>
      </c>
      <c r="N36" s="88"/>
      <c r="O36" s="85"/>
      <c r="P36" s="87"/>
      <c r="Q36" s="20"/>
    </row>
    <row r="37" spans="1:17" ht="20.25" customHeight="1">
      <c r="A37" s="19">
        <f>COUNTIF($L$16:$L37,"TRUE")</f>
        <v>0</v>
      </c>
      <c r="B37" s="19">
        <f>COUNTIF($L$34:L37,"TRUE")</f>
        <v>0</v>
      </c>
      <c r="C37" s="281" t="str">
        <f>IF($M$4=1,DataValTab!E22,
IF($M$4=2,DataValTab!K22,
""))</f>
        <v/>
      </c>
      <c r="D37" s="89" t="str">
        <f>IF($M$4=1,DataValTab!F22,
IF($M$4=2,DataValTab!L22,
""))</f>
        <v/>
      </c>
      <c r="E37" s="55"/>
      <c r="F37" s="45" t="str">
        <f>IF($M$4=1,DataValTab!I22,
IF($M$4=2,DataValTab!O22,
""))</f>
        <v/>
      </c>
      <c r="G37" s="196" t="str">
        <f>IF($M$4=1,DataValTab!G22,
IF($M$4=2,DataValTab!M22,
""))</f>
        <v/>
      </c>
      <c r="H37" s="384" t="str">
        <f>IF($M$4=1,DataValTab!H22,
IF($M$4=2,DataValTab!N22,
""))</f>
        <v/>
      </c>
      <c r="I37" s="273" t="str">
        <f>IF($M$4=1,DataValTab!J22,
IF($M$4=2,DataValTab!P22,
""))</f>
        <v/>
      </c>
      <c r="J37" s="20"/>
      <c r="K37" s="20"/>
      <c r="L37" s="73" t="b">
        <v>0</v>
      </c>
      <c r="M37" s="103" t="str">
        <f>IF($M$4=1,DataValTab!J67,
IF($M$4=2,DataValTab!P67,
""))</f>
        <v/>
      </c>
      <c r="N37" s="88"/>
      <c r="O37" s="85"/>
      <c r="P37" s="85"/>
    </row>
    <row r="38" spans="1:17" ht="20.25" customHeight="1">
      <c r="A38" s="19">
        <f>COUNTIF($L$16:$L38,"TRUE")</f>
        <v>0</v>
      </c>
      <c r="B38" s="19">
        <f>COUNTIF($L$34:L38,"TRUE")</f>
        <v>0</v>
      </c>
      <c r="C38" s="281" t="str">
        <f>IF($M$4=1,DataValTab!E23,
IF($M$4=2,DataValTab!K23,
""))</f>
        <v/>
      </c>
      <c r="D38" s="89" t="str">
        <f>IF($M$4=1,DataValTab!F23,
IF($M$4=2,DataValTab!L23,
""))</f>
        <v/>
      </c>
      <c r="E38" s="55"/>
      <c r="F38" s="45" t="str">
        <f>IF($M$4=1,DataValTab!I23,
IF($M$4=2,DataValTab!O23,
""))</f>
        <v/>
      </c>
      <c r="G38" s="196" t="str">
        <f>IF($M$4=1,DataValTab!G23,
IF($M$4=2,DataValTab!M23,
""))</f>
        <v/>
      </c>
      <c r="H38" s="384" t="str">
        <f>IF($M$4=1,DataValTab!H23,
IF($M$4=2,DataValTab!N23,
""))</f>
        <v/>
      </c>
      <c r="I38" s="273" t="str">
        <f>IF($M$4=1,DataValTab!J23,
IF($M$4=2,DataValTab!P23,
""))</f>
        <v/>
      </c>
      <c r="J38" s="20"/>
      <c r="K38" s="20"/>
      <c r="L38" s="73" t="b">
        <v>0</v>
      </c>
      <c r="M38" s="103" t="str">
        <f>IF($M$4=1,DataValTab!J68,
IF($M$4=2,DataValTab!P68,
""))</f>
        <v/>
      </c>
      <c r="N38" s="88"/>
      <c r="O38" s="85"/>
      <c r="P38" s="87"/>
      <c r="Q38" s="20"/>
    </row>
    <row r="39" spans="1:17" ht="20.25" customHeight="1">
      <c r="A39" s="19">
        <f>COUNTIF($L$16:$L39,"TRUE")</f>
        <v>0</v>
      </c>
      <c r="B39" s="19">
        <f>COUNTIF($L$34:L39,"TRUE")</f>
        <v>0</v>
      </c>
      <c r="C39" s="281" t="str">
        <f>IF($M$4=1,DataValTab!E24,
IF($M$4=2,DataValTab!K24,
""))</f>
        <v/>
      </c>
      <c r="D39" s="89" t="str">
        <f>IF($M$4=1,DataValTab!F24,
IF($M$4=2,DataValTab!L24,
""))</f>
        <v/>
      </c>
      <c r="E39" s="55"/>
      <c r="F39" s="45" t="str">
        <f>IF($M$4=1,DataValTab!I24,
IF($M$4=2,DataValTab!O24,
""))</f>
        <v/>
      </c>
      <c r="G39" s="196" t="str">
        <f>IF($M$4=1,DataValTab!G24,
IF($M$4=2,DataValTab!M24,
""))</f>
        <v/>
      </c>
      <c r="H39" s="384" t="str">
        <f>IF($M$4=1,DataValTab!H24,
IF($M$4=2,DataValTab!N24,
""))</f>
        <v/>
      </c>
      <c r="I39" s="273" t="str">
        <f>IF($M$4=1,DataValTab!J24,
IF($M$4=2,DataValTab!P24,
""))</f>
        <v/>
      </c>
      <c r="J39" s="20"/>
      <c r="K39" s="20"/>
      <c r="L39" s="73" t="b">
        <v>0</v>
      </c>
      <c r="M39" s="103" t="str">
        <f>IF($M$4=1,DataValTab!J69,
IF($M$4=2,DataValTab!P69,
""))</f>
        <v/>
      </c>
      <c r="N39" s="88"/>
      <c r="O39" s="85"/>
      <c r="P39" s="87"/>
      <c r="Q39" s="20"/>
    </row>
    <row r="40" spans="1:17" ht="20.25" customHeight="1">
      <c r="A40" s="19">
        <f>COUNTIF($L$16:$L40,"TRUE")</f>
        <v>0</v>
      </c>
      <c r="B40" s="19">
        <f>COUNTIF($L$34:L40,"TRUE")</f>
        <v>0</v>
      </c>
      <c r="C40" s="281" t="str">
        <f>IF($M$4=1,DataValTab!E25,
IF($M$4=2,DataValTab!K25,
""))</f>
        <v/>
      </c>
      <c r="D40" s="89" t="str">
        <f>IF($M$4=1,DataValTab!F25,
IF($M$4=2,DataValTab!L25,
""))</f>
        <v/>
      </c>
      <c r="E40" s="55"/>
      <c r="F40" s="45" t="str">
        <f>IF($M$4=1,DataValTab!I25,
IF($M$4=2,DataValTab!O25,
""))</f>
        <v/>
      </c>
      <c r="G40" s="196" t="str">
        <f>IF($M$4=1,DataValTab!G25,
IF($M$4=2,DataValTab!M25,
""))</f>
        <v/>
      </c>
      <c r="H40" s="384" t="str">
        <f>IF($M$4=1,DataValTab!H25,
IF($M$4=2,DataValTab!N25,
""))</f>
        <v/>
      </c>
      <c r="I40" s="273" t="str">
        <f>IF($M$4=1,DataValTab!J25,
IF($M$4=2,DataValTab!P25,
""))</f>
        <v/>
      </c>
      <c r="J40" s="20"/>
      <c r="K40" s="20"/>
      <c r="L40" s="73" t="b">
        <v>0</v>
      </c>
      <c r="M40" s="103" t="str">
        <f>IF($M$4=1,DataValTab!J70,
IF($M$4=2,DataValTab!P70,
""))</f>
        <v/>
      </c>
      <c r="N40" s="88"/>
      <c r="O40" s="85"/>
      <c r="P40" s="87"/>
      <c r="Q40" s="20"/>
    </row>
    <row r="41" spans="1:17" ht="20.25" customHeight="1">
      <c r="A41" s="19">
        <f>COUNTIF($L$16:$L41,"TRUE")</f>
        <v>0</v>
      </c>
      <c r="B41" s="19">
        <f>COUNTIF($L$34:L41,"TRUE")</f>
        <v>0</v>
      </c>
      <c r="C41" s="281" t="str">
        <f>IF($M$4=1,DataValTab!E26,
IF($M$4=2,DataValTab!K26,
""))</f>
        <v/>
      </c>
      <c r="D41" s="89" t="str">
        <f>IF($M$4=1,DataValTab!F26,
IF($M$4=2,DataValTab!L26,
""))</f>
        <v/>
      </c>
      <c r="E41" s="55"/>
      <c r="F41" s="45" t="str">
        <f>IF($M$4=1,DataValTab!I26,
IF($M$4=2,DataValTab!O26,
""))</f>
        <v/>
      </c>
      <c r="G41" s="196" t="str">
        <f>IF($M$4=1,DataValTab!G26,
IF($M$4=2,DataValTab!M26,
""))</f>
        <v/>
      </c>
      <c r="H41" s="384" t="str">
        <f>IF($M$4=1,DataValTab!H26,
IF($M$4=2,DataValTab!N26,
""))</f>
        <v/>
      </c>
      <c r="I41" s="273" t="str">
        <f>IF($M$4=1,DataValTab!J26,
IF($M$4=2,DataValTab!P26,
""))</f>
        <v/>
      </c>
      <c r="J41" s="20"/>
      <c r="K41" s="20"/>
      <c r="L41" s="73" t="b">
        <v>0</v>
      </c>
      <c r="M41" s="103" t="str">
        <f>IF($M$4=1,DataValTab!J71,
IF($M$4=2,DataValTab!P71,
""))</f>
        <v/>
      </c>
      <c r="N41" s="88"/>
      <c r="O41" s="85"/>
      <c r="P41" s="87"/>
      <c r="Q41" s="20"/>
    </row>
    <row r="42" spans="1:17" ht="20.25" customHeight="1">
      <c r="A42" s="19">
        <f>COUNTIF($L$16:$L42,"TRUE")</f>
        <v>0</v>
      </c>
      <c r="B42" s="19">
        <f>COUNTIF($L$34:L42,"TRUE")</f>
        <v>0</v>
      </c>
      <c r="C42" s="281" t="str">
        <f>IF($M$4=1,DataValTab!E27,
IF($M$4=2,DataValTab!K27,
""))</f>
        <v/>
      </c>
      <c r="D42" s="89" t="str">
        <f>IF($M$4=1,DataValTab!F27,
IF($M$4=2,DataValTab!L27,
""))</f>
        <v/>
      </c>
      <c r="E42" s="55"/>
      <c r="F42" s="45" t="str">
        <f>IF($M$4=1,DataValTab!I27,
IF($M$4=2,DataValTab!O27,
""))</f>
        <v/>
      </c>
      <c r="G42" s="196" t="str">
        <f>IF($M$4=1,DataValTab!G27,
IF($M$4=2,DataValTab!M27,
""))</f>
        <v/>
      </c>
      <c r="H42" s="384" t="str">
        <f>IF($M$4=1,DataValTab!H27,
IF($M$4=2,DataValTab!N27,
""))</f>
        <v/>
      </c>
      <c r="I42" s="273" t="str">
        <f>IF($M$4=1,DataValTab!J27,
IF($M$4=2,DataValTab!P27,
""))</f>
        <v/>
      </c>
      <c r="J42" s="20"/>
      <c r="K42" s="20"/>
      <c r="L42" s="73" t="b">
        <v>0</v>
      </c>
      <c r="M42" s="103" t="str">
        <f>IF($M$4=1,DataValTab!J72,
IF($M$4=2,DataValTab!P72,
""))</f>
        <v/>
      </c>
      <c r="N42" s="88"/>
      <c r="O42" s="85"/>
      <c r="P42" s="87"/>
      <c r="Q42" s="20"/>
    </row>
    <row r="43" spans="1:17" ht="12" customHeight="1">
      <c r="A43" s="19" t="s">
        <v>55</v>
      </c>
      <c r="B43" s="19" t="s">
        <v>55</v>
      </c>
      <c r="C43" s="47"/>
      <c r="D43" s="53"/>
      <c r="E43" s="49"/>
      <c r="F43" s="54"/>
      <c r="G43" s="51"/>
      <c r="H43" s="278"/>
      <c r="I43" s="276"/>
      <c r="J43" s="20"/>
      <c r="K43" s="20"/>
      <c r="L43" s="73"/>
      <c r="M43" s="103"/>
      <c r="N43" s="88"/>
      <c r="O43" s="85"/>
      <c r="P43" s="87"/>
      <c r="Q43" s="20"/>
    </row>
    <row r="44" spans="1:17" ht="28.5">
      <c r="A44" s="19" t="s">
        <v>55</v>
      </c>
      <c r="B44" s="19" t="s">
        <v>55</v>
      </c>
      <c r="C44" s="261" t="str">
        <f>IF($M$5=FALSE, "Additional Measures  - Structural","")</f>
        <v>Additional Measures  - Structural</v>
      </c>
      <c r="D44" s="287" t="str">
        <f>IF($M$5=FALSE, "You can select up to 5 structural measures for your additional measures.","")</f>
        <v>You can select up to 5 structural measures for your additional measures.</v>
      </c>
      <c r="E44" s="80"/>
      <c r="F44" s="84"/>
      <c r="G44" s="83"/>
      <c r="H44" s="275"/>
      <c r="I44" s="275"/>
      <c r="J44" s="20"/>
      <c r="K44" s="20"/>
      <c r="L44" s="73"/>
      <c r="M44" s="103"/>
      <c r="N44" s="88"/>
      <c r="O44" s="85"/>
      <c r="P44" s="87"/>
      <c r="Q44" s="20"/>
    </row>
    <row r="45" spans="1:17" ht="20.25" customHeight="1">
      <c r="A45" s="19">
        <f>COUNTIF($L$16:$L45,"TRUE")</f>
        <v>0</v>
      </c>
      <c r="B45" s="19">
        <f>COUNTIF($L$34:L45,"TRUE")</f>
        <v>0</v>
      </c>
      <c r="C45" s="262" t="str">
        <f>IF((AND(OR($M$4=1,$M$4=2),$M$5=FALSE)),"Structural", "")</f>
        <v/>
      </c>
      <c r="D45" s="90" t="str">
        <f>IF(AND(OR($M$4=1,$M$4=2),$M$5&lt;&gt;TRUE),N45,"")</f>
        <v/>
      </c>
      <c r="E45" s="268" t="str">
        <f>IF($M$5=FALSE,"'", "")</f>
        <v>'</v>
      </c>
      <c r="F45" s="263" t="str">
        <f>IF(AND(OR($M$4=1,$M$4=2),$M$5=FALSE),20, "")</f>
        <v/>
      </c>
      <c r="G45" s="264" t="str">
        <f>IF(AND(OR($M$4=1,$M$4=2),$M$5=FALSE),"N/A", "")</f>
        <v/>
      </c>
      <c r="H45" s="46" t="str">
        <f>IF(AND(OR($M$4=1,$M$4=2),$M$5=FALSE),"N/A", "")</f>
        <v/>
      </c>
      <c r="I45" s="273" t="str">
        <f>IF(AND(OR($M$4=1,$M$4=2),$M$5=FALSE),"Peds/Adult", "")</f>
        <v/>
      </c>
      <c r="J45" s="20"/>
      <c r="K45" s="20"/>
      <c r="L45" s="74" t="b">
        <v>0</v>
      </c>
      <c r="M45" s="103" t="str">
        <f>IF($M$4=1,DataValTab!J73,
IF($M$4=2,DataValTab!P73,
""))</f>
        <v/>
      </c>
      <c r="N45" s="104" t="s">
        <v>9</v>
      </c>
      <c r="O45" s="71">
        <f>COUNTIF($L$45:$L45,"TRUE")</f>
        <v>0</v>
      </c>
      <c r="P45" s="72"/>
      <c r="Q45" s="20"/>
    </row>
    <row r="46" spans="1:17" ht="20.25" customHeight="1">
      <c r="A46" s="19">
        <f>COUNTIF($L$16:$L46,"TRUE")</f>
        <v>0</v>
      </c>
      <c r="B46" s="19">
        <f>COUNTIF($L$34:L46,"TRUE")</f>
        <v>0</v>
      </c>
      <c r="C46" s="262" t="str">
        <f t="shared" ref="C46:C53" si="0">IF((AND(OR($M$4=1,$M$4=2),$M$5=FALSE)),"Structural", "")</f>
        <v/>
      </c>
      <c r="D46" s="90" t="str">
        <f t="shared" ref="D46:D53" si="1">IF(AND(OR($M$4=1,$M$4=2),$M$5&lt;&gt;TRUE),N46,"")</f>
        <v/>
      </c>
      <c r="E46" s="268" t="str">
        <f t="shared" ref="E46:E53" si="2">IF($M$5=FALSE,"'", "")</f>
        <v>'</v>
      </c>
      <c r="F46" s="263" t="str">
        <f t="shared" ref="F46:F53" si="3">IF(AND(OR($M$4=1,$M$4=2),$M$5=FALSE),20, "")</f>
        <v/>
      </c>
      <c r="G46" s="264" t="str">
        <f t="shared" ref="G46:H53" si="4">IF(AND(OR($M$4=1,$M$4=2),$M$5=FALSE),"N/A", "")</f>
        <v/>
      </c>
      <c r="H46" s="46" t="str">
        <f t="shared" si="4"/>
        <v/>
      </c>
      <c r="I46" s="273" t="str">
        <f t="shared" ref="I46:I53" si="5">IF(AND(OR($M$4=1,$M$4=2),$M$5=FALSE),"Peds/Adult", "")</f>
        <v/>
      </c>
      <c r="J46" s="20"/>
      <c r="K46" s="20"/>
      <c r="L46" s="73" t="b">
        <v>0</v>
      </c>
      <c r="M46" s="103" t="str">
        <f>IF($M$4=1,DataValTab!J74,
IF($M$4=2,DataValTab!P74,
""))</f>
        <v/>
      </c>
      <c r="N46" s="104" t="s">
        <v>10</v>
      </c>
      <c r="O46" s="71">
        <f>COUNTIF($L$45:$L46,"TRUE")</f>
        <v>0</v>
      </c>
      <c r="P46" s="72"/>
      <c r="Q46" s="20"/>
    </row>
    <row r="47" spans="1:17" ht="20.25" customHeight="1">
      <c r="A47" s="19">
        <f>COUNTIF($L$16:$L47,"TRUE")</f>
        <v>0</v>
      </c>
      <c r="B47" s="19">
        <f>COUNTIF($L$34:L47,"TRUE")</f>
        <v>0</v>
      </c>
      <c r="C47" s="262" t="str">
        <f t="shared" si="0"/>
        <v/>
      </c>
      <c r="D47" s="90" t="str">
        <f t="shared" si="1"/>
        <v/>
      </c>
      <c r="E47" s="268" t="str">
        <f t="shared" si="2"/>
        <v>'</v>
      </c>
      <c r="F47" s="263" t="str">
        <f t="shared" si="3"/>
        <v/>
      </c>
      <c r="G47" s="264" t="str">
        <f t="shared" si="4"/>
        <v/>
      </c>
      <c r="H47" s="46" t="str">
        <f t="shared" si="4"/>
        <v/>
      </c>
      <c r="I47" s="273" t="str">
        <f t="shared" si="5"/>
        <v/>
      </c>
      <c r="J47" s="20"/>
      <c r="K47" s="20"/>
      <c r="L47" s="73" t="b">
        <v>0</v>
      </c>
      <c r="M47" s="103" t="str">
        <f>IF($M$4=1,DataValTab!J75,
IF($M$4=2,DataValTab!P75,
""))</f>
        <v/>
      </c>
      <c r="N47" s="104" t="s">
        <v>11</v>
      </c>
      <c r="O47" s="71">
        <f>COUNTIF($L$45:$L47,"TRUE")</f>
        <v>0</v>
      </c>
      <c r="P47" s="72"/>
      <c r="Q47" s="20"/>
    </row>
    <row r="48" spans="1:17" ht="20.25" customHeight="1">
      <c r="A48" s="19">
        <f>COUNTIF($L$16:$L48,"TRUE")</f>
        <v>0</v>
      </c>
      <c r="B48" s="19">
        <f>COUNTIF($L$34:L48,"TRUE")</f>
        <v>0</v>
      </c>
      <c r="C48" s="262" t="str">
        <f t="shared" si="0"/>
        <v/>
      </c>
      <c r="D48" s="90" t="str">
        <f t="shared" si="1"/>
        <v/>
      </c>
      <c r="E48" s="268" t="str">
        <f t="shared" si="2"/>
        <v>'</v>
      </c>
      <c r="F48" s="263" t="str">
        <f t="shared" si="3"/>
        <v/>
      </c>
      <c r="G48" s="264" t="str">
        <f t="shared" si="4"/>
        <v/>
      </c>
      <c r="H48" s="46" t="str">
        <f t="shared" si="4"/>
        <v/>
      </c>
      <c r="I48" s="273" t="str">
        <f t="shared" si="5"/>
        <v/>
      </c>
      <c r="J48" s="20"/>
      <c r="K48" s="20"/>
      <c r="L48" s="73" t="b">
        <v>0</v>
      </c>
      <c r="M48" s="103" t="str">
        <f>IF($M$4=1,DataValTab!J76,
IF($M$4=2,DataValTab!P76,
""))</f>
        <v/>
      </c>
      <c r="N48" s="104" t="s">
        <v>12</v>
      </c>
      <c r="O48" s="71">
        <f>COUNTIF($L$45:$L48,"TRUE")</f>
        <v>0</v>
      </c>
      <c r="P48" s="72"/>
      <c r="Q48" s="20"/>
    </row>
    <row r="49" spans="1:27" ht="20.25" customHeight="1">
      <c r="A49" s="19">
        <f>COUNTIF($L$16:$L49,"TRUE")</f>
        <v>0</v>
      </c>
      <c r="B49" s="19">
        <f>COUNTIF($L$34:L49,"TRUE")</f>
        <v>0</v>
      </c>
      <c r="C49" s="262" t="str">
        <f t="shared" si="0"/>
        <v/>
      </c>
      <c r="D49" s="90" t="str">
        <f t="shared" si="1"/>
        <v/>
      </c>
      <c r="E49" s="268" t="str">
        <f t="shared" si="2"/>
        <v>'</v>
      </c>
      <c r="F49" s="263" t="str">
        <f t="shared" si="3"/>
        <v/>
      </c>
      <c r="G49" s="264" t="str">
        <f t="shared" si="4"/>
        <v/>
      </c>
      <c r="H49" s="46" t="str">
        <f t="shared" si="4"/>
        <v/>
      </c>
      <c r="I49" s="273" t="str">
        <f t="shared" si="5"/>
        <v/>
      </c>
      <c r="J49" s="20"/>
      <c r="K49" s="20"/>
      <c r="L49" s="73" t="b">
        <v>0</v>
      </c>
      <c r="M49" s="103" t="str">
        <f>IF($M$4=1,DataValTab!J77,
IF($M$4=2,DataValTab!P77,
""))</f>
        <v/>
      </c>
      <c r="N49" s="104" t="s">
        <v>13</v>
      </c>
      <c r="O49" s="71">
        <f>COUNTIF($L$45:$L49,"TRUE")</f>
        <v>0</v>
      </c>
      <c r="P49" s="72"/>
      <c r="Q49" s="20"/>
    </row>
    <row r="50" spans="1:27" ht="20.25" customHeight="1">
      <c r="A50" s="19">
        <f>COUNTIF($L$16:$L50,"TRUE")</f>
        <v>0</v>
      </c>
      <c r="B50" s="19">
        <f>COUNTIF($L$34:L50,"TRUE")</f>
        <v>0</v>
      </c>
      <c r="C50" s="262" t="str">
        <f t="shared" si="0"/>
        <v/>
      </c>
      <c r="D50" s="90" t="str">
        <f t="shared" si="1"/>
        <v/>
      </c>
      <c r="E50" s="268" t="str">
        <f t="shared" si="2"/>
        <v>'</v>
      </c>
      <c r="F50" s="263" t="str">
        <f t="shared" si="3"/>
        <v/>
      </c>
      <c r="G50" s="264" t="str">
        <f t="shared" si="4"/>
        <v/>
      </c>
      <c r="H50" s="46" t="str">
        <f t="shared" si="4"/>
        <v/>
      </c>
      <c r="I50" s="273" t="str">
        <f t="shared" si="5"/>
        <v/>
      </c>
      <c r="J50" s="20"/>
      <c r="K50" s="20"/>
      <c r="L50" s="73" t="b">
        <v>0</v>
      </c>
      <c r="M50" s="103" t="str">
        <f>IF($M$4=1,DataValTab!J78,
IF($M$4=2,DataValTab!P78,
""))</f>
        <v/>
      </c>
      <c r="N50" s="104" t="s">
        <v>407</v>
      </c>
      <c r="O50" s="71">
        <f>COUNTIF($L$45:$L50,"TRUE")</f>
        <v>0</v>
      </c>
      <c r="P50" s="72"/>
      <c r="Q50" s="20"/>
    </row>
    <row r="51" spans="1:27" ht="20.25" customHeight="1">
      <c r="A51" s="19">
        <f>COUNTIF($L$16:$L51,"TRUE")</f>
        <v>0</v>
      </c>
      <c r="B51" s="19">
        <f>COUNTIF($L$34:L51,"TRUE")</f>
        <v>0</v>
      </c>
      <c r="C51" s="262" t="str">
        <f t="shared" si="0"/>
        <v/>
      </c>
      <c r="D51" s="90" t="str">
        <f t="shared" si="1"/>
        <v/>
      </c>
      <c r="E51" s="268" t="str">
        <f t="shared" si="2"/>
        <v>'</v>
      </c>
      <c r="F51" s="263" t="str">
        <f t="shared" si="3"/>
        <v/>
      </c>
      <c r="G51" s="264" t="str">
        <f t="shared" si="4"/>
        <v/>
      </c>
      <c r="H51" s="46" t="str">
        <f t="shared" si="4"/>
        <v/>
      </c>
      <c r="I51" s="273" t="str">
        <f t="shared" si="5"/>
        <v/>
      </c>
      <c r="J51" s="20"/>
      <c r="K51" s="20"/>
      <c r="L51" s="73" t="b">
        <v>0</v>
      </c>
      <c r="M51" s="103" t="str">
        <f>IF($M$4=1,DataValTab!J79,
IF($M$4=2,DataValTab!P79,
""))</f>
        <v/>
      </c>
      <c r="N51" s="104" t="s">
        <v>14</v>
      </c>
      <c r="O51" s="71">
        <f>COUNTIF($L$45:$L51,"TRUE")</f>
        <v>0</v>
      </c>
      <c r="P51" s="72"/>
      <c r="Q51" s="20"/>
    </row>
    <row r="52" spans="1:27" ht="20.25" customHeight="1">
      <c r="A52" s="19">
        <f>COUNTIF($L$16:$L52,"TRUE")</f>
        <v>0</v>
      </c>
      <c r="B52" s="19">
        <f>COUNTIF($L$34:L52,"TRUE")</f>
        <v>0</v>
      </c>
      <c r="C52" s="262" t="str">
        <f t="shared" si="0"/>
        <v/>
      </c>
      <c r="D52" s="90" t="str">
        <f t="shared" si="1"/>
        <v/>
      </c>
      <c r="E52" s="268" t="str">
        <f t="shared" si="2"/>
        <v>'</v>
      </c>
      <c r="F52" s="263" t="str">
        <f t="shared" si="3"/>
        <v/>
      </c>
      <c r="G52" s="264" t="str">
        <f t="shared" si="4"/>
        <v/>
      </c>
      <c r="H52" s="46" t="str">
        <f t="shared" si="4"/>
        <v/>
      </c>
      <c r="I52" s="273" t="str">
        <f t="shared" si="5"/>
        <v/>
      </c>
      <c r="J52" s="20"/>
      <c r="K52" s="20"/>
      <c r="L52" s="73" t="b">
        <v>0</v>
      </c>
      <c r="M52" s="103" t="str">
        <f>IF($M$4=1,DataValTab!J80,
IF($M$4=2,DataValTab!P80,
""))</f>
        <v/>
      </c>
      <c r="N52" s="104" t="s">
        <v>406</v>
      </c>
      <c r="O52" s="71">
        <f>COUNTIF($L$45:$L52,"TRUE")</f>
        <v>0</v>
      </c>
      <c r="P52" s="72"/>
      <c r="Q52" s="20"/>
    </row>
    <row r="53" spans="1:27" ht="20.25" customHeight="1">
      <c r="A53" s="19">
        <f>COUNTIF($L$16:$L53,"TRUE")</f>
        <v>0</v>
      </c>
      <c r="B53" s="19">
        <f>COUNTIF($L$34:L53,"TRUE")</f>
        <v>0</v>
      </c>
      <c r="C53" s="262" t="str">
        <f t="shared" si="0"/>
        <v/>
      </c>
      <c r="D53" s="90" t="str">
        <f t="shared" si="1"/>
        <v/>
      </c>
      <c r="E53" s="268" t="str">
        <f t="shared" si="2"/>
        <v>'</v>
      </c>
      <c r="F53" s="263" t="str">
        <f t="shared" si="3"/>
        <v/>
      </c>
      <c r="G53" s="264" t="str">
        <f t="shared" si="4"/>
        <v/>
      </c>
      <c r="H53" s="46" t="str">
        <f t="shared" si="4"/>
        <v/>
      </c>
      <c r="I53" s="273" t="str">
        <f t="shared" si="5"/>
        <v/>
      </c>
      <c r="J53" s="20"/>
      <c r="K53" s="20"/>
      <c r="L53" s="73" t="b">
        <v>0</v>
      </c>
      <c r="M53" s="103" t="str">
        <f>IF($M$4=1,DataValTab!J81,
IF($M$4=2,DataValTab!P81,
""))</f>
        <v/>
      </c>
      <c r="N53" s="104" t="s">
        <v>15</v>
      </c>
      <c r="O53" s="71">
        <f>COUNTIF($L$45:$L53,"TRUE")</f>
        <v>0</v>
      </c>
      <c r="P53" s="72"/>
      <c r="Q53" s="20"/>
    </row>
    <row r="54" spans="1:27" s="20" customFormat="1" ht="15" customHeight="1">
      <c r="A54" s="17"/>
      <c r="E54" s="56"/>
      <c r="M54" s="58"/>
      <c r="N54" s="58"/>
      <c r="O54" s="59"/>
      <c r="P54" s="60"/>
      <c r="Q54" s="18"/>
      <c r="R54" s="19"/>
      <c r="S54" s="19"/>
      <c r="T54" s="19"/>
      <c r="U54" s="19"/>
      <c r="V54" s="19"/>
      <c r="W54" s="19"/>
      <c r="X54" s="19"/>
      <c r="Y54" s="19"/>
      <c r="Z54" s="19"/>
      <c r="AA54" s="19"/>
    </row>
    <row r="55" spans="1:27" s="20" customFormat="1">
      <c r="B55" s="18"/>
      <c r="E55" s="56"/>
      <c r="M55" s="58"/>
      <c r="N55" s="58"/>
      <c r="O55" s="59"/>
      <c r="P55" s="60"/>
      <c r="Q55" s="18"/>
      <c r="R55" s="19"/>
      <c r="S55" s="19"/>
      <c r="T55" s="19"/>
      <c r="U55" s="19"/>
      <c r="V55" s="19"/>
      <c r="W55" s="19"/>
      <c r="X55" s="19"/>
      <c r="Y55" s="19"/>
      <c r="Z55" s="19"/>
      <c r="AA55" s="19"/>
    </row>
    <row r="56" spans="1:27" s="20" customFormat="1">
      <c r="B56" s="18"/>
      <c r="E56" s="56"/>
      <c r="M56" s="58"/>
      <c r="N56" s="58"/>
      <c r="O56" s="59"/>
      <c r="P56" s="60"/>
      <c r="Q56" s="18"/>
      <c r="R56" s="19"/>
      <c r="S56" s="19"/>
      <c r="T56" s="19"/>
      <c r="U56" s="19"/>
      <c r="V56" s="19"/>
      <c r="W56" s="19"/>
      <c r="X56" s="19"/>
      <c r="Y56" s="19"/>
      <c r="Z56" s="19"/>
      <c r="AA56" s="19"/>
    </row>
    <row r="57" spans="1:27" s="20" customFormat="1">
      <c r="B57" s="18"/>
      <c r="C57" s="57"/>
      <c r="M57" s="58"/>
      <c r="N57" s="58"/>
      <c r="O57" s="58"/>
      <c r="P57" s="58"/>
      <c r="Q57" s="18"/>
      <c r="R57" s="19"/>
      <c r="S57" s="19"/>
      <c r="T57" s="19"/>
      <c r="U57" s="19"/>
      <c r="V57" s="19"/>
      <c r="W57" s="19"/>
      <c r="X57" s="19"/>
      <c r="Y57" s="19"/>
      <c r="Z57" s="19"/>
      <c r="AA57" s="19"/>
    </row>
    <row r="58" spans="1:27" s="20" customFormat="1">
      <c r="B58" s="18"/>
      <c r="C58" s="57"/>
      <c r="M58" s="58"/>
      <c r="N58" s="58"/>
      <c r="O58" s="58"/>
      <c r="P58" s="58"/>
      <c r="Q58" s="18"/>
      <c r="R58" s="19"/>
      <c r="S58" s="19"/>
      <c r="T58" s="19"/>
      <c r="U58" s="19"/>
      <c r="V58" s="19"/>
      <c r="W58" s="19"/>
      <c r="X58" s="19"/>
      <c r="Y58" s="19"/>
      <c r="Z58" s="19"/>
      <c r="AA58" s="19"/>
    </row>
    <row r="59" spans="1:27" s="20" customFormat="1">
      <c r="B59" s="18"/>
      <c r="C59" s="57"/>
      <c r="D59" s="20" t="str">
        <f>IF(AND($M$5=TRUE,$M$4=2,COUNTIF(L36:L42,TRUE),COUNTIF(L45:L53,TRUE)),"Please select valid measures","")</f>
        <v/>
      </c>
      <c r="M59" s="58"/>
      <c r="N59" s="58"/>
      <c r="O59" s="58"/>
      <c r="P59" s="58"/>
      <c r="Q59" s="18"/>
      <c r="R59" s="19"/>
      <c r="S59" s="19"/>
      <c r="T59" s="19"/>
      <c r="U59" s="19"/>
      <c r="V59" s="19"/>
      <c r="W59" s="19"/>
      <c r="X59" s="19"/>
      <c r="Y59" s="19"/>
      <c r="Z59" s="19"/>
      <c r="AA59" s="19"/>
    </row>
    <row r="60" spans="1:27" s="20" customFormat="1">
      <c r="B60" s="18"/>
      <c r="C60" s="57"/>
      <c r="M60" s="58"/>
      <c r="N60" s="58"/>
      <c r="O60" s="58"/>
      <c r="P60" s="58"/>
      <c r="Q60" s="18"/>
      <c r="R60" s="19"/>
      <c r="S60" s="19"/>
      <c r="T60" s="19"/>
      <c r="U60" s="19"/>
      <c r="V60" s="19"/>
      <c r="W60" s="19"/>
      <c r="X60" s="19"/>
      <c r="Y60" s="19"/>
      <c r="Z60" s="19"/>
      <c r="AA60" s="19"/>
    </row>
    <row r="61" spans="1:27" s="20" customFormat="1">
      <c r="B61" s="18"/>
      <c r="C61" s="57"/>
      <c r="M61" s="58"/>
      <c r="N61" s="58"/>
      <c r="O61" s="58"/>
      <c r="P61" s="58"/>
      <c r="Q61" s="18"/>
      <c r="R61" s="19"/>
      <c r="S61" s="19"/>
      <c r="T61" s="19"/>
      <c r="U61" s="19"/>
      <c r="V61" s="19"/>
      <c r="W61" s="19"/>
      <c r="X61" s="19"/>
      <c r="Y61" s="19"/>
      <c r="Z61" s="19"/>
      <c r="AA61" s="19"/>
    </row>
    <row r="62" spans="1:27" s="20" customFormat="1">
      <c r="B62" s="18"/>
      <c r="C62" s="57"/>
      <c r="M62" s="58"/>
      <c r="N62" s="58"/>
      <c r="O62" s="58"/>
      <c r="P62" s="58"/>
      <c r="Q62" s="18"/>
      <c r="R62" s="19"/>
      <c r="S62" s="19"/>
      <c r="T62" s="19"/>
      <c r="U62" s="19"/>
      <c r="V62" s="19"/>
      <c r="W62" s="19"/>
      <c r="X62" s="19"/>
      <c r="Y62" s="19"/>
      <c r="Z62" s="19"/>
      <c r="AA62" s="19"/>
    </row>
    <row r="63" spans="1:27" s="20" customFormat="1">
      <c r="B63" s="18"/>
      <c r="C63" s="57"/>
      <c r="M63" s="58"/>
      <c r="N63" s="58"/>
      <c r="O63" s="58"/>
      <c r="P63" s="58"/>
      <c r="Q63" s="18"/>
      <c r="R63" s="19"/>
      <c r="S63" s="19"/>
      <c r="T63" s="19"/>
      <c r="U63" s="19"/>
      <c r="V63" s="19"/>
      <c r="W63" s="19"/>
      <c r="X63" s="19"/>
      <c r="Y63" s="19"/>
      <c r="Z63" s="19"/>
      <c r="AA63" s="19"/>
    </row>
    <row r="64" spans="1:27" s="20" customFormat="1">
      <c r="B64" s="18"/>
      <c r="C64" s="57"/>
      <c r="M64" s="58"/>
      <c r="N64" s="58"/>
      <c r="O64" s="58"/>
      <c r="P64" s="58"/>
      <c r="Q64" s="18"/>
      <c r="R64" s="19"/>
      <c r="S64" s="19"/>
      <c r="T64" s="19"/>
      <c r="U64" s="19"/>
      <c r="V64" s="19"/>
      <c r="W64" s="19"/>
      <c r="X64" s="19"/>
      <c r="Y64" s="19"/>
      <c r="Z64" s="19"/>
      <c r="AA64" s="19"/>
    </row>
    <row r="65" spans="2:27" s="20" customFormat="1">
      <c r="B65" s="18"/>
      <c r="C65" s="57"/>
      <c r="M65" s="58"/>
      <c r="N65" s="58"/>
      <c r="O65" s="58"/>
      <c r="P65" s="58"/>
      <c r="Q65" s="18"/>
      <c r="R65" s="19"/>
      <c r="S65" s="19"/>
      <c r="T65" s="19"/>
      <c r="U65" s="19"/>
      <c r="V65" s="19"/>
      <c r="W65" s="19"/>
      <c r="X65" s="19"/>
      <c r="Y65" s="19"/>
      <c r="Z65" s="19"/>
      <c r="AA65" s="19"/>
    </row>
    <row r="66" spans="2:27" s="20" customFormat="1">
      <c r="B66" s="18"/>
      <c r="C66" s="57"/>
      <c r="M66" s="58"/>
      <c r="N66" s="58"/>
      <c r="O66" s="58"/>
      <c r="P66" s="58"/>
      <c r="Q66" s="18"/>
      <c r="R66" s="19"/>
      <c r="S66" s="19"/>
      <c r="T66" s="19"/>
      <c r="U66" s="19"/>
      <c r="V66" s="19"/>
      <c r="W66" s="19"/>
      <c r="X66" s="19"/>
      <c r="Y66" s="19"/>
      <c r="Z66" s="19"/>
      <c r="AA66" s="19"/>
    </row>
    <row r="67" spans="2:27" s="20" customFormat="1">
      <c r="B67" s="18"/>
      <c r="C67" s="57"/>
      <c r="M67" s="58"/>
      <c r="N67" s="58"/>
      <c r="O67" s="58"/>
      <c r="P67" s="58"/>
      <c r="Q67" s="18"/>
      <c r="R67" s="19"/>
      <c r="S67" s="19"/>
      <c r="T67" s="19"/>
      <c r="U67" s="19"/>
      <c r="V67" s="19"/>
      <c r="W67" s="19"/>
      <c r="X67" s="19"/>
      <c r="Y67" s="19"/>
      <c r="Z67" s="19"/>
      <c r="AA67" s="19"/>
    </row>
    <row r="68" spans="2:27" s="20" customFormat="1">
      <c r="B68" s="18"/>
      <c r="C68" s="57"/>
      <c r="M68" s="58"/>
      <c r="N68" s="58"/>
      <c r="O68" s="58"/>
      <c r="P68" s="58"/>
      <c r="Q68" s="18"/>
      <c r="R68" s="19"/>
      <c r="S68" s="19"/>
      <c r="T68" s="19"/>
      <c r="U68" s="19"/>
      <c r="V68" s="19"/>
      <c r="W68" s="19"/>
      <c r="X68" s="19"/>
      <c r="Y68" s="19"/>
      <c r="Z68" s="19"/>
      <c r="AA68" s="19"/>
    </row>
    <row r="69" spans="2:27" s="20" customFormat="1">
      <c r="B69" s="18"/>
      <c r="C69" s="57"/>
      <c r="M69" s="58"/>
      <c r="N69" s="58"/>
      <c r="O69" s="58"/>
      <c r="P69" s="58"/>
      <c r="Q69" s="18"/>
      <c r="R69" s="19"/>
      <c r="S69" s="19"/>
      <c r="T69" s="19"/>
      <c r="U69" s="19"/>
      <c r="V69" s="19"/>
      <c r="W69" s="19"/>
      <c r="X69" s="19"/>
      <c r="Y69" s="19"/>
      <c r="Z69" s="19"/>
      <c r="AA69" s="19"/>
    </row>
    <row r="70" spans="2:27" s="20" customFormat="1">
      <c r="B70" s="18"/>
      <c r="C70" s="57"/>
      <c r="M70" s="58"/>
      <c r="N70" s="58"/>
      <c r="O70" s="58"/>
      <c r="P70" s="58"/>
      <c r="Q70" s="18"/>
      <c r="R70" s="19"/>
      <c r="S70" s="19"/>
      <c r="T70" s="19"/>
      <c r="U70" s="19"/>
      <c r="V70" s="19"/>
      <c r="W70" s="19"/>
      <c r="X70" s="19"/>
      <c r="Y70" s="19"/>
      <c r="Z70" s="19"/>
      <c r="AA70" s="19"/>
    </row>
    <row r="71" spans="2:27" s="20" customFormat="1">
      <c r="B71" s="18"/>
      <c r="C71" s="57"/>
      <c r="M71" s="58"/>
      <c r="N71" s="58"/>
      <c r="O71" s="58"/>
      <c r="P71" s="58"/>
      <c r="Q71" s="18"/>
      <c r="R71" s="19"/>
      <c r="S71" s="19"/>
      <c r="T71" s="19"/>
      <c r="U71" s="19"/>
      <c r="V71" s="19"/>
      <c r="W71" s="19"/>
      <c r="X71" s="19"/>
      <c r="Y71" s="19"/>
      <c r="Z71" s="19"/>
      <c r="AA71" s="19"/>
    </row>
    <row r="72" spans="2:27" s="20" customFormat="1">
      <c r="B72" s="18"/>
      <c r="C72" s="57"/>
      <c r="M72" s="58"/>
      <c r="N72" s="58"/>
      <c r="O72" s="58"/>
      <c r="P72" s="58"/>
      <c r="Q72" s="18"/>
      <c r="R72" s="19"/>
      <c r="S72" s="19"/>
      <c r="T72" s="19"/>
      <c r="U72" s="19"/>
      <c r="V72" s="19"/>
      <c r="W72" s="19"/>
      <c r="X72" s="19"/>
      <c r="Y72" s="19"/>
      <c r="Z72" s="19"/>
      <c r="AA72" s="19"/>
    </row>
    <row r="73" spans="2:27" s="20" customFormat="1">
      <c r="B73" s="18"/>
      <c r="C73" s="57"/>
      <c r="M73" s="58"/>
      <c r="N73" s="58"/>
      <c r="O73" s="58"/>
      <c r="P73" s="58"/>
      <c r="Q73" s="18"/>
      <c r="R73" s="19"/>
      <c r="S73" s="19"/>
      <c r="T73" s="19"/>
      <c r="U73" s="19"/>
      <c r="V73" s="19"/>
      <c r="W73" s="19"/>
      <c r="X73" s="19"/>
      <c r="Y73" s="19"/>
      <c r="Z73" s="19"/>
      <c r="AA73" s="19"/>
    </row>
    <row r="74" spans="2:27" s="20" customFormat="1">
      <c r="B74" s="18"/>
      <c r="C74" s="57"/>
      <c r="M74" s="58"/>
      <c r="N74" s="58"/>
      <c r="O74" s="58"/>
      <c r="P74" s="58"/>
      <c r="Q74" s="18"/>
      <c r="R74" s="19"/>
      <c r="S74" s="19"/>
      <c r="T74" s="19"/>
      <c r="U74" s="19"/>
      <c r="V74" s="19"/>
      <c r="W74" s="19"/>
      <c r="X74" s="19"/>
      <c r="Y74" s="19"/>
      <c r="Z74" s="19"/>
      <c r="AA74" s="19"/>
    </row>
    <row r="75" spans="2:27" s="20" customFormat="1">
      <c r="B75" s="18"/>
      <c r="C75" s="57"/>
      <c r="M75" s="58"/>
      <c r="N75" s="58"/>
      <c r="O75" s="58"/>
      <c r="P75" s="58"/>
      <c r="Q75" s="18"/>
      <c r="R75" s="19"/>
      <c r="S75" s="19"/>
      <c r="T75" s="19"/>
      <c r="U75" s="19"/>
      <c r="V75" s="19"/>
      <c r="W75" s="19"/>
      <c r="X75" s="19"/>
      <c r="Y75" s="19"/>
      <c r="Z75" s="19"/>
      <c r="AA75" s="19"/>
    </row>
    <row r="76" spans="2:27" s="20" customFormat="1">
      <c r="B76" s="18"/>
      <c r="C76" s="57"/>
      <c r="M76" s="58"/>
      <c r="N76" s="58"/>
      <c r="O76" s="58"/>
      <c r="P76" s="58"/>
      <c r="Q76" s="18"/>
      <c r="R76" s="19"/>
      <c r="S76" s="19"/>
      <c r="T76" s="19"/>
      <c r="U76" s="19"/>
      <c r="V76" s="19"/>
      <c r="W76" s="19"/>
      <c r="X76" s="19"/>
      <c r="Y76" s="19"/>
      <c r="Z76" s="19"/>
      <c r="AA76" s="19"/>
    </row>
    <row r="77" spans="2:27" s="20" customFormat="1">
      <c r="B77" s="18"/>
      <c r="C77" s="57"/>
      <c r="M77" s="58"/>
      <c r="N77" s="58"/>
      <c r="O77" s="58"/>
      <c r="P77" s="58"/>
      <c r="Q77" s="18"/>
      <c r="R77" s="19"/>
      <c r="S77" s="19"/>
      <c r="T77" s="19"/>
      <c r="U77" s="19"/>
      <c r="V77" s="19"/>
      <c r="W77" s="19"/>
      <c r="X77" s="19"/>
      <c r="Y77" s="19"/>
      <c r="Z77" s="19"/>
      <c r="AA77" s="19"/>
    </row>
    <row r="78" spans="2:27" s="20" customFormat="1">
      <c r="B78" s="18"/>
      <c r="C78" s="57"/>
      <c r="M78" s="58"/>
      <c r="N78" s="58"/>
      <c r="O78" s="58"/>
      <c r="P78" s="58"/>
      <c r="Q78" s="18"/>
      <c r="R78" s="19"/>
      <c r="S78" s="19"/>
      <c r="T78" s="19"/>
      <c r="U78" s="19"/>
      <c r="V78" s="19"/>
      <c r="W78" s="19"/>
      <c r="X78" s="19"/>
      <c r="Y78" s="19"/>
      <c r="Z78" s="19"/>
      <c r="AA78" s="19"/>
    </row>
    <row r="79" spans="2:27" s="20" customFormat="1">
      <c r="B79" s="18"/>
      <c r="C79" s="57"/>
      <c r="M79" s="58"/>
      <c r="N79" s="58"/>
      <c r="O79" s="58"/>
      <c r="P79" s="58"/>
      <c r="Q79" s="18"/>
      <c r="R79" s="19"/>
      <c r="S79" s="19"/>
      <c r="T79" s="19"/>
      <c r="U79" s="19"/>
      <c r="V79" s="19"/>
      <c r="W79" s="19"/>
      <c r="X79" s="19"/>
      <c r="Y79" s="19"/>
      <c r="Z79" s="19"/>
      <c r="AA79" s="19"/>
    </row>
    <row r="80" spans="2:27" s="20" customFormat="1">
      <c r="B80" s="18"/>
      <c r="C80" s="57"/>
      <c r="M80" s="58"/>
      <c r="N80" s="58"/>
      <c r="O80" s="58"/>
      <c r="P80" s="58"/>
      <c r="Q80" s="18"/>
      <c r="R80" s="19"/>
      <c r="S80" s="19"/>
      <c r="T80" s="19"/>
      <c r="U80" s="19"/>
      <c r="V80" s="19"/>
      <c r="W80" s="19"/>
      <c r="X80" s="19"/>
      <c r="Y80" s="19"/>
      <c r="Z80" s="19"/>
      <c r="AA80" s="19"/>
    </row>
    <row r="81" spans="2:27" s="20" customFormat="1">
      <c r="B81" s="18"/>
      <c r="C81" s="57"/>
      <c r="M81" s="58"/>
      <c r="N81" s="58"/>
      <c r="O81" s="58"/>
      <c r="P81" s="58"/>
      <c r="Q81" s="18"/>
      <c r="R81" s="19"/>
      <c r="S81" s="19"/>
      <c r="T81" s="19"/>
      <c r="U81" s="19"/>
      <c r="V81" s="19"/>
      <c r="W81" s="19"/>
      <c r="X81" s="19"/>
      <c r="Y81" s="19"/>
      <c r="Z81" s="19"/>
      <c r="AA81" s="19"/>
    </row>
    <row r="82" spans="2:27" s="20" customFormat="1">
      <c r="B82" s="18"/>
      <c r="C82" s="57"/>
      <c r="M82" s="58"/>
      <c r="N82" s="58"/>
      <c r="O82" s="58"/>
      <c r="P82" s="58"/>
      <c r="Q82" s="18"/>
      <c r="R82" s="19"/>
      <c r="S82" s="19"/>
      <c r="T82" s="19"/>
      <c r="U82" s="19"/>
      <c r="V82" s="19"/>
      <c r="W82" s="19"/>
      <c r="X82" s="19"/>
      <c r="Y82" s="19"/>
      <c r="Z82" s="19"/>
      <c r="AA82" s="19"/>
    </row>
    <row r="83" spans="2:27" s="20" customFormat="1">
      <c r="B83" s="18"/>
      <c r="C83" s="57"/>
      <c r="M83" s="58"/>
      <c r="N83" s="58"/>
      <c r="O83" s="58"/>
      <c r="P83" s="58"/>
      <c r="Q83" s="18"/>
      <c r="R83" s="19"/>
      <c r="S83" s="19"/>
      <c r="T83" s="19"/>
      <c r="U83" s="19"/>
      <c r="V83" s="19"/>
      <c r="W83" s="19"/>
      <c r="X83" s="19"/>
      <c r="Y83" s="19"/>
      <c r="Z83" s="19"/>
      <c r="AA83" s="19"/>
    </row>
    <row r="84" spans="2:27" s="20" customFormat="1">
      <c r="B84" s="18"/>
      <c r="C84" s="57"/>
      <c r="M84" s="58"/>
      <c r="N84" s="58"/>
      <c r="O84" s="58"/>
      <c r="P84" s="58"/>
      <c r="Q84" s="18"/>
      <c r="R84" s="19"/>
      <c r="S84" s="19"/>
      <c r="T84" s="19"/>
      <c r="U84" s="19"/>
      <c r="V84" s="19"/>
      <c r="W84" s="19"/>
      <c r="X84" s="19"/>
      <c r="Y84" s="19"/>
      <c r="Z84" s="19"/>
      <c r="AA84" s="19"/>
    </row>
    <row r="85" spans="2:27" s="20" customFormat="1">
      <c r="B85" s="18"/>
      <c r="C85" s="57"/>
      <c r="M85" s="58"/>
      <c r="N85" s="58"/>
      <c r="O85" s="58"/>
      <c r="P85" s="58"/>
      <c r="Q85" s="18"/>
      <c r="R85" s="19"/>
      <c r="S85" s="19"/>
      <c r="T85" s="19"/>
      <c r="U85" s="19"/>
      <c r="V85" s="19"/>
      <c r="W85" s="19"/>
      <c r="X85" s="19"/>
      <c r="Y85" s="19"/>
      <c r="Z85" s="19"/>
      <c r="AA85" s="19"/>
    </row>
    <row r="86" spans="2:27" s="20" customFormat="1">
      <c r="B86" s="18"/>
      <c r="C86" s="57"/>
      <c r="M86" s="58"/>
      <c r="N86" s="58"/>
      <c r="O86" s="58"/>
      <c r="P86" s="58"/>
      <c r="Q86" s="18"/>
      <c r="R86" s="19"/>
      <c r="S86" s="19"/>
      <c r="T86" s="19"/>
      <c r="U86" s="19"/>
      <c r="V86" s="19"/>
      <c r="W86" s="19"/>
      <c r="X86" s="19"/>
      <c r="Y86" s="19"/>
      <c r="Z86" s="19"/>
      <c r="AA86" s="19"/>
    </row>
    <row r="87" spans="2:27" s="20" customFormat="1">
      <c r="B87" s="18"/>
      <c r="C87" s="57"/>
      <c r="M87" s="58"/>
      <c r="N87" s="58"/>
      <c r="O87" s="58"/>
      <c r="P87" s="58"/>
      <c r="Q87" s="18"/>
      <c r="R87" s="19"/>
      <c r="S87" s="19"/>
      <c r="T87" s="19"/>
      <c r="U87" s="19"/>
      <c r="V87" s="19"/>
      <c r="W87" s="19"/>
      <c r="X87" s="19"/>
      <c r="Y87" s="19"/>
      <c r="Z87" s="19"/>
      <c r="AA87" s="19"/>
    </row>
    <row r="88" spans="2:27" s="20" customFormat="1">
      <c r="B88" s="18"/>
      <c r="C88" s="57"/>
      <c r="M88" s="58"/>
      <c r="N88" s="58"/>
      <c r="O88" s="58"/>
      <c r="P88" s="58"/>
      <c r="Q88" s="18"/>
      <c r="R88" s="19"/>
      <c r="S88" s="19"/>
      <c r="T88" s="19"/>
      <c r="U88" s="19"/>
      <c r="V88" s="19"/>
      <c r="W88" s="19"/>
      <c r="X88" s="19"/>
      <c r="Y88" s="19"/>
      <c r="Z88" s="19"/>
      <c r="AA88" s="19"/>
    </row>
    <row r="89" spans="2:27" s="20" customFormat="1">
      <c r="B89" s="18"/>
      <c r="C89" s="57"/>
      <c r="M89" s="58"/>
      <c r="N89" s="58"/>
      <c r="O89" s="58"/>
      <c r="P89" s="58"/>
      <c r="Q89" s="18"/>
      <c r="R89" s="19"/>
      <c r="S89" s="19"/>
      <c r="T89" s="19"/>
      <c r="U89" s="19"/>
      <c r="V89" s="19"/>
      <c r="W89" s="19"/>
      <c r="X89" s="19"/>
      <c r="Y89" s="19"/>
      <c r="Z89" s="19"/>
      <c r="AA89" s="19"/>
    </row>
    <row r="90" spans="2:27" s="20" customFormat="1">
      <c r="B90" s="18"/>
      <c r="C90" s="57"/>
      <c r="M90" s="58"/>
      <c r="N90" s="58"/>
      <c r="O90" s="58"/>
      <c r="P90" s="58"/>
      <c r="Q90" s="18"/>
      <c r="R90" s="19"/>
      <c r="S90" s="19"/>
      <c r="T90" s="19"/>
      <c r="U90" s="19"/>
      <c r="V90" s="19"/>
      <c r="W90" s="19"/>
      <c r="X90" s="19"/>
      <c r="Y90" s="19"/>
      <c r="Z90" s="19"/>
      <c r="AA90" s="19"/>
    </row>
    <row r="91" spans="2:27" s="20" customFormat="1">
      <c r="B91" s="18"/>
      <c r="C91" s="57"/>
      <c r="M91" s="58"/>
      <c r="N91" s="58"/>
      <c r="O91" s="58"/>
      <c r="P91" s="58"/>
      <c r="Q91" s="18"/>
      <c r="R91" s="19"/>
      <c r="S91" s="19"/>
      <c r="T91" s="19"/>
      <c r="U91" s="19"/>
      <c r="V91" s="19"/>
      <c r="W91" s="19"/>
      <c r="X91" s="19"/>
      <c r="Y91" s="19"/>
      <c r="Z91" s="19"/>
      <c r="AA91" s="19"/>
    </row>
    <row r="92" spans="2:27" s="20" customFormat="1">
      <c r="B92" s="18"/>
      <c r="C92" s="57"/>
      <c r="M92" s="58"/>
      <c r="N92" s="58"/>
      <c r="O92" s="58"/>
      <c r="P92" s="58"/>
      <c r="Q92" s="18"/>
      <c r="R92" s="19"/>
      <c r="S92" s="19"/>
      <c r="T92" s="19"/>
      <c r="U92" s="19"/>
      <c r="V92" s="19"/>
      <c r="W92" s="19"/>
      <c r="X92" s="19"/>
      <c r="Y92" s="19"/>
      <c r="Z92" s="19"/>
      <c r="AA92" s="19"/>
    </row>
    <row r="93" spans="2:27" s="20" customFormat="1">
      <c r="B93" s="18"/>
      <c r="C93" s="57"/>
      <c r="M93" s="58"/>
      <c r="N93" s="58"/>
      <c r="O93" s="58"/>
      <c r="P93" s="58"/>
      <c r="Q93" s="18"/>
      <c r="R93" s="19"/>
      <c r="S93" s="19"/>
      <c r="T93" s="19"/>
      <c r="U93" s="19"/>
      <c r="V93" s="19"/>
      <c r="W93" s="19"/>
      <c r="X93" s="19"/>
      <c r="Y93" s="19"/>
      <c r="Z93" s="19"/>
      <c r="AA93" s="19"/>
    </row>
    <row r="94" spans="2:27" s="20" customFormat="1">
      <c r="B94" s="18"/>
      <c r="C94" s="57"/>
      <c r="M94" s="58"/>
      <c r="N94" s="58"/>
      <c r="O94" s="58"/>
      <c r="P94" s="58"/>
      <c r="Q94" s="18"/>
      <c r="R94" s="19"/>
      <c r="S94" s="19"/>
      <c r="T94" s="19"/>
      <c r="U94" s="19"/>
      <c r="V94" s="19"/>
      <c r="W94" s="19"/>
      <c r="X94" s="19"/>
      <c r="Y94" s="19"/>
      <c r="Z94" s="19"/>
      <c r="AA94" s="19"/>
    </row>
    <row r="95" spans="2:27" s="20" customFormat="1">
      <c r="B95" s="18"/>
      <c r="C95" s="57"/>
      <c r="M95" s="58"/>
      <c r="N95" s="58"/>
      <c r="O95" s="58"/>
      <c r="P95" s="58"/>
      <c r="Q95" s="18"/>
      <c r="R95" s="19"/>
      <c r="S95" s="19"/>
      <c r="T95" s="19"/>
      <c r="U95" s="19"/>
      <c r="V95" s="19"/>
      <c r="W95" s="19"/>
      <c r="X95" s="19"/>
      <c r="Y95" s="19"/>
      <c r="Z95" s="19"/>
      <c r="AA95" s="19"/>
    </row>
    <row r="96" spans="2:27" s="20" customFormat="1">
      <c r="B96" s="18"/>
      <c r="C96" s="57"/>
      <c r="M96" s="58"/>
      <c r="N96" s="58"/>
      <c r="O96" s="58"/>
      <c r="P96" s="58"/>
      <c r="Q96" s="18"/>
      <c r="R96" s="19"/>
      <c r="S96" s="19"/>
      <c r="T96" s="19"/>
      <c r="U96" s="19"/>
      <c r="V96" s="19"/>
      <c r="W96" s="19"/>
      <c r="X96" s="19"/>
      <c r="Y96" s="19"/>
      <c r="Z96" s="19"/>
      <c r="AA96" s="19"/>
    </row>
    <row r="97" spans="2:27" s="20" customFormat="1">
      <c r="B97" s="18"/>
      <c r="C97" s="57"/>
      <c r="M97" s="58"/>
      <c r="N97" s="58"/>
      <c r="O97" s="58"/>
      <c r="P97" s="58"/>
      <c r="Q97" s="18"/>
      <c r="R97" s="19"/>
      <c r="S97" s="19"/>
      <c r="T97" s="19"/>
      <c r="U97" s="19"/>
      <c r="V97" s="19"/>
      <c r="W97" s="19"/>
      <c r="X97" s="19"/>
      <c r="Y97" s="19"/>
      <c r="Z97" s="19"/>
      <c r="AA97" s="19"/>
    </row>
    <row r="98" spans="2:27" s="20" customFormat="1">
      <c r="B98" s="18"/>
      <c r="C98" s="57"/>
      <c r="M98" s="58"/>
      <c r="N98" s="58"/>
      <c r="O98" s="58"/>
      <c r="P98" s="58"/>
      <c r="Q98" s="18"/>
      <c r="R98" s="19"/>
      <c r="S98" s="19"/>
      <c r="T98" s="19"/>
      <c r="U98" s="19"/>
      <c r="V98" s="19"/>
      <c r="W98" s="19"/>
      <c r="X98" s="19"/>
      <c r="Y98" s="19"/>
      <c r="Z98" s="19"/>
      <c r="AA98" s="19"/>
    </row>
    <row r="99" spans="2:27" s="20" customFormat="1">
      <c r="B99" s="18"/>
      <c r="C99" s="57"/>
      <c r="M99" s="58"/>
      <c r="N99" s="58"/>
      <c r="O99" s="58"/>
      <c r="P99" s="58"/>
      <c r="Q99" s="18"/>
      <c r="R99" s="19"/>
      <c r="S99" s="19"/>
      <c r="T99" s="19"/>
      <c r="U99" s="19"/>
      <c r="V99" s="19"/>
      <c r="W99" s="19"/>
      <c r="X99" s="19"/>
      <c r="Y99" s="19"/>
      <c r="Z99" s="19"/>
      <c r="AA99" s="19"/>
    </row>
    <row r="100" spans="2:27" s="20" customFormat="1">
      <c r="B100" s="18"/>
      <c r="C100" s="57"/>
      <c r="M100" s="58"/>
      <c r="N100" s="58"/>
      <c r="O100" s="58"/>
      <c r="P100" s="58"/>
      <c r="Q100" s="18"/>
      <c r="R100" s="19"/>
      <c r="S100" s="19"/>
      <c r="T100" s="19"/>
      <c r="U100" s="19"/>
      <c r="V100" s="19"/>
      <c r="W100" s="19"/>
      <c r="X100" s="19"/>
      <c r="Y100" s="19"/>
      <c r="Z100" s="19"/>
      <c r="AA100" s="19"/>
    </row>
    <row r="101" spans="2:27" s="20" customFormat="1">
      <c r="B101" s="18"/>
      <c r="C101" s="57"/>
      <c r="M101" s="58"/>
      <c r="N101" s="58"/>
      <c r="O101" s="58"/>
      <c r="P101" s="58"/>
      <c r="Q101" s="18"/>
      <c r="R101" s="19"/>
      <c r="S101" s="19"/>
      <c r="T101" s="19"/>
      <c r="U101" s="19"/>
      <c r="V101" s="19"/>
      <c r="W101" s="19"/>
      <c r="X101" s="19"/>
      <c r="Y101" s="19"/>
      <c r="Z101" s="19"/>
      <c r="AA101" s="19"/>
    </row>
    <row r="102" spans="2:27" s="20" customFormat="1">
      <c r="B102" s="18"/>
      <c r="C102" s="57"/>
      <c r="M102" s="58"/>
      <c r="N102" s="58"/>
      <c r="O102" s="58"/>
      <c r="P102" s="58"/>
      <c r="Q102" s="18"/>
      <c r="R102" s="19"/>
      <c r="S102" s="19"/>
      <c r="T102" s="19"/>
      <c r="U102" s="19"/>
      <c r="V102" s="19"/>
      <c r="W102" s="19"/>
      <c r="X102" s="19"/>
      <c r="Y102" s="19"/>
      <c r="Z102" s="19"/>
      <c r="AA102" s="19"/>
    </row>
    <row r="103" spans="2:27" s="20" customFormat="1">
      <c r="B103" s="18"/>
      <c r="C103" s="57"/>
      <c r="M103" s="58"/>
      <c r="N103" s="58"/>
      <c r="O103" s="58"/>
      <c r="P103" s="58"/>
      <c r="Q103" s="18"/>
      <c r="R103" s="19"/>
      <c r="S103" s="19"/>
      <c r="T103" s="19"/>
      <c r="U103" s="19"/>
      <c r="V103" s="19"/>
      <c r="W103" s="19"/>
      <c r="X103" s="19"/>
      <c r="Y103" s="19"/>
      <c r="Z103" s="19"/>
      <c r="AA103" s="19"/>
    </row>
    <row r="104" spans="2:27" s="20" customFormat="1">
      <c r="B104" s="18"/>
      <c r="C104" s="57"/>
      <c r="M104" s="58"/>
      <c r="N104" s="58"/>
      <c r="O104" s="58"/>
      <c r="P104" s="58"/>
      <c r="Q104" s="18"/>
      <c r="R104" s="19"/>
      <c r="S104" s="19"/>
      <c r="T104" s="19"/>
      <c r="U104" s="19"/>
      <c r="V104" s="19"/>
      <c r="W104" s="19"/>
      <c r="X104" s="19"/>
      <c r="Y104" s="19"/>
      <c r="Z104" s="19"/>
      <c r="AA104" s="19"/>
    </row>
    <row r="105" spans="2:27" s="20" customFormat="1">
      <c r="B105" s="18"/>
      <c r="C105" s="57"/>
      <c r="M105" s="58"/>
      <c r="N105" s="58"/>
      <c r="O105" s="58"/>
      <c r="P105" s="58"/>
      <c r="Q105" s="18"/>
      <c r="R105" s="19"/>
      <c r="S105" s="19"/>
      <c r="T105" s="19"/>
      <c r="U105" s="19"/>
      <c r="V105" s="19"/>
      <c r="W105" s="19"/>
      <c r="X105" s="19"/>
      <c r="Y105" s="19"/>
      <c r="Z105" s="19"/>
      <c r="AA105" s="19"/>
    </row>
    <row r="106" spans="2:27" s="20" customFormat="1">
      <c r="B106" s="18"/>
      <c r="C106" s="57"/>
      <c r="M106" s="58"/>
      <c r="N106" s="58"/>
      <c r="O106" s="58"/>
      <c r="P106" s="58"/>
      <c r="Q106" s="18"/>
      <c r="R106" s="19"/>
      <c r="S106" s="19"/>
      <c r="T106" s="19"/>
      <c r="U106" s="19"/>
      <c r="V106" s="19"/>
      <c r="W106" s="19"/>
      <c r="X106" s="19"/>
      <c r="Y106" s="19"/>
      <c r="Z106" s="19"/>
      <c r="AA106" s="19"/>
    </row>
    <row r="107" spans="2:27" s="20" customFormat="1">
      <c r="B107" s="18"/>
      <c r="C107" s="57"/>
      <c r="M107" s="58"/>
      <c r="N107" s="58"/>
      <c r="O107" s="58"/>
      <c r="P107" s="58"/>
      <c r="Q107" s="18"/>
      <c r="R107" s="19"/>
      <c r="S107" s="19"/>
      <c r="T107" s="19"/>
      <c r="U107" s="19"/>
      <c r="V107" s="19"/>
      <c r="W107" s="19"/>
      <c r="X107" s="19"/>
      <c r="Y107" s="19"/>
      <c r="Z107" s="19"/>
      <c r="AA107" s="19"/>
    </row>
    <row r="108" spans="2:27" s="20" customFormat="1">
      <c r="B108" s="18"/>
      <c r="C108" s="57"/>
      <c r="M108" s="58"/>
      <c r="N108" s="58"/>
      <c r="O108" s="58"/>
      <c r="P108" s="58"/>
      <c r="Q108" s="18"/>
      <c r="R108" s="19"/>
      <c r="S108" s="19"/>
      <c r="T108" s="19"/>
      <c r="U108" s="19"/>
      <c r="V108" s="19"/>
      <c r="W108" s="19"/>
      <c r="X108" s="19"/>
      <c r="Y108" s="19"/>
      <c r="Z108" s="19"/>
      <c r="AA108" s="19"/>
    </row>
    <row r="109" spans="2:27" s="20" customFormat="1">
      <c r="B109" s="18"/>
      <c r="C109" s="57"/>
      <c r="M109" s="58"/>
      <c r="N109" s="58"/>
      <c r="O109" s="58"/>
      <c r="P109" s="58"/>
      <c r="Q109" s="18"/>
      <c r="R109" s="19"/>
      <c r="S109" s="19"/>
      <c r="T109" s="19"/>
      <c r="U109" s="19"/>
      <c r="V109" s="19"/>
      <c r="W109" s="19"/>
      <c r="X109" s="19"/>
      <c r="Y109" s="19"/>
      <c r="Z109" s="19"/>
      <c r="AA109" s="19"/>
    </row>
    <row r="110" spans="2:27" s="20" customFormat="1">
      <c r="B110" s="18"/>
      <c r="C110" s="57"/>
      <c r="M110" s="58"/>
      <c r="N110" s="58"/>
      <c r="O110" s="58"/>
      <c r="P110" s="58"/>
      <c r="Q110" s="18"/>
      <c r="R110" s="19"/>
      <c r="S110" s="19"/>
      <c r="T110" s="19"/>
      <c r="U110" s="19"/>
      <c r="V110" s="19"/>
      <c r="W110" s="19"/>
      <c r="X110" s="19"/>
      <c r="Y110" s="19"/>
      <c r="Z110" s="19"/>
      <c r="AA110" s="19"/>
    </row>
    <row r="111" spans="2:27" s="20" customFormat="1">
      <c r="B111" s="18"/>
      <c r="C111" s="57"/>
      <c r="M111" s="58"/>
      <c r="N111" s="58"/>
      <c r="O111" s="58"/>
      <c r="P111" s="58"/>
      <c r="Q111" s="18"/>
      <c r="R111" s="19"/>
      <c r="S111" s="19"/>
      <c r="T111" s="19"/>
      <c r="U111" s="19"/>
      <c r="V111" s="19"/>
      <c r="W111" s="19"/>
      <c r="X111" s="19"/>
      <c r="Y111" s="19"/>
      <c r="Z111" s="19"/>
      <c r="AA111" s="19"/>
    </row>
    <row r="112" spans="2:27" s="20" customFormat="1">
      <c r="B112" s="18"/>
      <c r="C112" s="57"/>
      <c r="M112" s="58"/>
      <c r="N112" s="58"/>
      <c r="O112" s="58"/>
      <c r="P112" s="58"/>
      <c r="Q112" s="18"/>
      <c r="R112" s="19"/>
      <c r="S112" s="19"/>
      <c r="T112" s="19"/>
      <c r="U112" s="19"/>
      <c r="V112" s="19"/>
      <c r="W112" s="19"/>
      <c r="X112" s="19"/>
      <c r="Y112" s="19"/>
      <c r="Z112" s="19"/>
      <c r="AA112" s="19"/>
    </row>
    <row r="113" spans="2:27" s="20" customFormat="1">
      <c r="B113" s="18"/>
      <c r="C113" s="57"/>
      <c r="M113" s="58"/>
      <c r="N113" s="58"/>
      <c r="O113" s="58"/>
      <c r="P113" s="58"/>
      <c r="Q113" s="18"/>
      <c r="R113" s="19"/>
      <c r="S113" s="19"/>
      <c r="T113" s="19"/>
      <c r="U113" s="19"/>
      <c r="V113" s="19"/>
      <c r="W113" s="19"/>
      <c r="X113" s="19"/>
      <c r="Y113" s="19"/>
      <c r="Z113" s="19"/>
      <c r="AA113" s="19"/>
    </row>
    <row r="114" spans="2:27" s="20" customFormat="1">
      <c r="B114" s="18"/>
      <c r="C114" s="57"/>
      <c r="M114" s="58"/>
      <c r="N114" s="58"/>
      <c r="O114" s="58"/>
      <c r="P114" s="58"/>
      <c r="Q114" s="18"/>
      <c r="R114" s="19"/>
      <c r="S114" s="19"/>
      <c r="T114" s="19"/>
      <c r="U114" s="19"/>
      <c r="V114" s="19"/>
      <c r="W114" s="19"/>
      <c r="X114" s="19"/>
      <c r="Y114" s="19"/>
      <c r="Z114" s="19"/>
      <c r="AA114" s="19"/>
    </row>
    <row r="115" spans="2:27" s="20" customFormat="1">
      <c r="B115" s="18"/>
      <c r="C115" s="57"/>
      <c r="M115" s="58"/>
      <c r="N115" s="58"/>
      <c r="O115" s="58"/>
      <c r="P115" s="58"/>
      <c r="Q115" s="18"/>
      <c r="R115" s="19"/>
      <c r="S115" s="19"/>
      <c r="T115" s="19"/>
      <c r="U115" s="19"/>
      <c r="V115" s="19"/>
      <c r="W115" s="19"/>
      <c r="X115" s="19"/>
      <c r="Y115" s="19"/>
      <c r="Z115" s="19"/>
      <c r="AA115" s="19"/>
    </row>
    <row r="116" spans="2:27" s="20" customFormat="1">
      <c r="B116" s="18"/>
      <c r="C116" s="57"/>
      <c r="M116" s="58"/>
      <c r="N116" s="58"/>
      <c r="O116" s="58"/>
      <c r="P116" s="58"/>
      <c r="Q116" s="18"/>
      <c r="R116" s="19"/>
      <c r="S116" s="19"/>
      <c r="T116" s="19"/>
      <c r="U116" s="19"/>
      <c r="V116" s="19"/>
      <c r="W116" s="19"/>
      <c r="X116" s="19"/>
      <c r="Y116" s="19"/>
      <c r="Z116" s="19"/>
      <c r="AA116" s="19"/>
    </row>
    <row r="117" spans="2:27" s="20" customFormat="1">
      <c r="B117" s="18"/>
      <c r="C117" s="57"/>
      <c r="M117" s="58"/>
      <c r="N117" s="58"/>
      <c r="O117" s="58"/>
      <c r="P117" s="58"/>
      <c r="Q117" s="18"/>
      <c r="R117" s="19"/>
      <c r="S117" s="19"/>
      <c r="T117" s="19"/>
      <c r="U117" s="19"/>
      <c r="V117" s="19"/>
      <c r="W117" s="19"/>
      <c r="X117" s="19"/>
      <c r="Y117" s="19"/>
      <c r="Z117" s="19"/>
      <c r="AA117" s="19"/>
    </row>
    <row r="118" spans="2:27" s="20" customFormat="1">
      <c r="B118" s="18"/>
      <c r="C118" s="57"/>
      <c r="M118" s="58"/>
      <c r="N118" s="58"/>
      <c r="O118" s="58"/>
      <c r="P118" s="58"/>
      <c r="Q118" s="18"/>
      <c r="R118" s="19"/>
      <c r="S118" s="19"/>
      <c r="T118" s="19"/>
      <c r="U118" s="19"/>
      <c r="V118" s="19"/>
      <c r="W118" s="19"/>
      <c r="X118" s="19"/>
      <c r="Y118" s="19"/>
      <c r="Z118" s="19"/>
      <c r="AA118" s="19"/>
    </row>
    <row r="119" spans="2:27" s="20" customFormat="1">
      <c r="B119" s="18"/>
      <c r="C119" s="57"/>
      <c r="M119" s="58"/>
      <c r="N119" s="58"/>
      <c r="O119" s="58"/>
      <c r="P119" s="58"/>
      <c r="Q119" s="18"/>
      <c r="R119" s="19"/>
      <c r="S119" s="19"/>
      <c r="T119" s="19"/>
      <c r="U119" s="19"/>
      <c r="V119" s="19"/>
      <c r="W119" s="19"/>
      <c r="X119" s="19"/>
      <c r="Y119" s="19"/>
      <c r="Z119" s="19"/>
      <c r="AA119" s="19"/>
    </row>
    <row r="120" spans="2:27" s="20" customFormat="1">
      <c r="B120" s="18"/>
      <c r="C120" s="57"/>
      <c r="M120" s="58"/>
      <c r="N120" s="58"/>
      <c r="O120" s="58"/>
      <c r="P120" s="58"/>
      <c r="Q120" s="18"/>
      <c r="R120" s="19"/>
      <c r="S120" s="19"/>
      <c r="T120" s="19"/>
      <c r="U120" s="19"/>
      <c r="V120" s="19"/>
      <c r="W120" s="19"/>
      <c r="X120" s="19"/>
      <c r="Y120" s="19"/>
      <c r="Z120" s="19"/>
      <c r="AA120" s="19"/>
    </row>
    <row r="121" spans="2:27" s="20" customFormat="1">
      <c r="B121" s="18"/>
      <c r="C121" s="57"/>
      <c r="M121" s="58"/>
      <c r="N121" s="58"/>
      <c r="O121" s="58"/>
      <c r="P121" s="58"/>
      <c r="Q121" s="18"/>
      <c r="R121" s="19"/>
      <c r="S121" s="19"/>
      <c r="T121" s="19"/>
      <c r="U121" s="19"/>
      <c r="V121" s="19"/>
      <c r="W121" s="19"/>
      <c r="X121" s="19"/>
      <c r="Y121" s="19"/>
      <c r="Z121" s="19"/>
      <c r="AA121" s="19"/>
    </row>
    <row r="122" spans="2:27" s="20" customFormat="1">
      <c r="B122" s="18"/>
      <c r="C122" s="57"/>
      <c r="M122" s="58"/>
      <c r="N122" s="58"/>
      <c r="O122" s="58"/>
      <c r="P122" s="58"/>
      <c r="Q122" s="18"/>
      <c r="R122" s="19"/>
      <c r="S122" s="19"/>
      <c r="T122" s="19"/>
      <c r="U122" s="19"/>
      <c r="V122" s="19"/>
      <c r="W122" s="19"/>
      <c r="X122" s="19"/>
      <c r="Y122" s="19"/>
      <c r="Z122" s="19"/>
      <c r="AA122" s="19"/>
    </row>
    <row r="123" spans="2:27" s="20" customFormat="1">
      <c r="B123" s="18"/>
      <c r="C123" s="57"/>
      <c r="M123" s="58"/>
      <c r="N123" s="58"/>
      <c r="O123" s="58"/>
      <c r="P123" s="58"/>
      <c r="Q123" s="18"/>
      <c r="R123" s="19"/>
      <c r="S123" s="19"/>
      <c r="T123" s="19"/>
      <c r="U123" s="19"/>
      <c r="V123" s="19"/>
      <c r="W123" s="19"/>
      <c r="X123" s="19"/>
      <c r="Y123" s="19"/>
      <c r="Z123" s="19"/>
      <c r="AA123" s="19"/>
    </row>
    <row r="124" spans="2:27" s="20" customFormat="1">
      <c r="B124" s="18"/>
      <c r="C124" s="57"/>
      <c r="M124" s="58"/>
      <c r="N124" s="58"/>
      <c r="O124" s="58"/>
      <c r="P124" s="58"/>
      <c r="Q124" s="18"/>
      <c r="R124" s="19"/>
      <c r="S124" s="19"/>
      <c r="T124" s="19"/>
      <c r="U124" s="19"/>
      <c r="V124" s="19"/>
      <c r="W124" s="19"/>
      <c r="X124" s="19"/>
      <c r="Y124" s="19"/>
      <c r="Z124" s="19"/>
      <c r="AA124" s="19"/>
    </row>
    <row r="125" spans="2:27" s="20" customFormat="1">
      <c r="B125" s="18"/>
      <c r="C125" s="57"/>
      <c r="M125" s="58"/>
      <c r="N125" s="58"/>
      <c r="O125" s="58"/>
      <c r="P125" s="58"/>
      <c r="Q125" s="18"/>
      <c r="R125" s="19"/>
      <c r="S125" s="19"/>
      <c r="T125" s="19"/>
      <c r="U125" s="19"/>
      <c r="V125" s="19"/>
      <c r="W125" s="19"/>
      <c r="X125" s="19"/>
      <c r="Y125" s="19"/>
      <c r="Z125" s="19"/>
      <c r="AA125" s="19"/>
    </row>
    <row r="126" spans="2:27" s="20" customFormat="1">
      <c r="B126" s="18"/>
      <c r="C126" s="57"/>
      <c r="M126" s="58"/>
      <c r="N126" s="58"/>
      <c r="O126" s="58"/>
      <c r="P126" s="58"/>
      <c r="Q126" s="18"/>
      <c r="R126" s="19"/>
      <c r="S126" s="19"/>
      <c r="T126" s="19"/>
      <c r="U126" s="19"/>
      <c r="V126" s="19"/>
      <c r="W126" s="19"/>
      <c r="X126" s="19"/>
      <c r="Y126" s="19"/>
      <c r="Z126" s="19"/>
      <c r="AA126" s="19"/>
    </row>
    <row r="127" spans="2:27" s="20" customFormat="1">
      <c r="B127" s="18"/>
      <c r="C127" s="57"/>
      <c r="M127" s="58"/>
      <c r="N127" s="58"/>
      <c r="O127" s="58"/>
      <c r="P127" s="58"/>
      <c r="Q127" s="18"/>
      <c r="R127" s="19"/>
      <c r="S127" s="19"/>
      <c r="T127" s="19"/>
      <c r="U127" s="19"/>
      <c r="V127" s="19"/>
      <c r="W127" s="19"/>
      <c r="X127" s="19"/>
      <c r="Y127" s="19"/>
      <c r="Z127" s="19"/>
      <c r="AA127" s="19"/>
    </row>
    <row r="128" spans="2:27" s="20" customFormat="1">
      <c r="B128" s="18"/>
      <c r="C128" s="57"/>
      <c r="M128" s="58"/>
      <c r="N128" s="58"/>
      <c r="O128" s="58"/>
      <c r="P128" s="58"/>
      <c r="Q128" s="18"/>
      <c r="R128" s="19"/>
      <c r="S128" s="19"/>
      <c r="T128" s="19"/>
      <c r="U128" s="19"/>
      <c r="V128" s="19"/>
      <c r="W128" s="19"/>
      <c r="X128" s="19"/>
      <c r="Y128" s="19"/>
      <c r="Z128" s="19"/>
      <c r="AA128" s="19"/>
    </row>
    <row r="129" spans="2:27" s="20" customFormat="1">
      <c r="B129" s="18"/>
      <c r="C129" s="57"/>
      <c r="M129" s="58"/>
      <c r="N129" s="58"/>
      <c r="O129" s="58"/>
      <c r="P129" s="58"/>
      <c r="Q129" s="18"/>
      <c r="R129" s="19"/>
      <c r="S129" s="19"/>
      <c r="T129" s="19"/>
      <c r="U129" s="19"/>
      <c r="V129" s="19"/>
      <c r="W129" s="19"/>
      <c r="X129" s="19"/>
      <c r="Y129" s="19"/>
      <c r="Z129" s="19"/>
      <c r="AA129" s="19"/>
    </row>
    <row r="130" spans="2:27" s="20" customFormat="1">
      <c r="B130" s="18"/>
      <c r="C130" s="57"/>
      <c r="M130" s="58"/>
      <c r="N130" s="58"/>
      <c r="O130" s="58"/>
      <c r="P130" s="58"/>
      <c r="Q130" s="18"/>
      <c r="R130" s="19"/>
      <c r="S130" s="19"/>
      <c r="T130" s="19"/>
      <c r="U130" s="19"/>
      <c r="V130" s="19"/>
      <c r="W130" s="19"/>
      <c r="X130" s="19"/>
      <c r="Y130" s="19"/>
      <c r="Z130" s="19"/>
      <c r="AA130" s="19"/>
    </row>
    <row r="131" spans="2:27" s="20" customFormat="1">
      <c r="B131" s="18"/>
      <c r="C131" s="57"/>
      <c r="M131" s="58"/>
      <c r="N131" s="58"/>
      <c r="O131" s="58"/>
      <c r="P131" s="58"/>
      <c r="Q131" s="18"/>
      <c r="R131" s="19"/>
      <c r="S131" s="19"/>
      <c r="T131" s="19"/>
      <c r="U131" s="19"/>
      <c r="V131" s="19"/>
      <c r="W131" s="19"/>
      <c r="X131" s="19"/>
      <c r="Y131" s="19"/>
      <c r="Z131" s="19"/>
      <c r="AA131" s="19"/>
    </row>
    <row r="132" spans="2:27" s="20" customFormat="1">
      <c r="B132" s="18"/>
      <c r="C132" s="57"/>
      <c r="M132" s="58"/>
      <c r="N132" s="58"/>
      <c r="O132" s="58"/>
      <c r="P132" s="58"/>
      <c r="Q132" s="18"/>
      <c r="R132" s="19"/>
      <c r="S132" s="19"/>
      <c r="T132" s="19"/>
      <c r="U132" s="19"/>
      <c r="V132" s="19"/>
      <c r="W132" s="19"/>
      <c r="X132" s="19"/>
      <c r="Y132" s="19"/>
      <c r="Z132" s="19"/>
      <c r="AA132" s="19"/>
    </row>
    <row r="133" spans="2:27" s="20" customFormat="1">
      <c r="B133" s="18"/>
      <c r="C133" s="57"/>
      <c r="M133" s="58"/>
      <c r="N133" s="58"/>
      <c r="O133" s="58"/>
      <c r="P133" s="58"/>
      <c r="Q133" s="18"/>
      <c r="R133" s="19"/>
      <c r="S133" s="19"/>
      <c r="T133" s="19"/>
      <c r="U133" s="19"/>
      <c r="V133" s="19"/>
      <c r="W133" s="19"/>
      <c r="X133" s="19"/>
      <c r="Y133" s="19"/>
      <c r="Z133" s="19"/>
      <c r="AA133" s="19"/>
    </row>
    <row r="134" spans="2:27" s="20" customFormat="1">
      <c r="B134" s="18"/>
      <c r="C134" s="57"/>
      <c r="M134" s="58"/>
      <c r="N134" s="58"/>
      <c r="O134" s="58"/>
      <c r="P134" s="58"/>
      <c r="Q134" s="18"/>
      <c r="R134" s="19"/>
      <c r="S134" s="19"/>
      <c r="T134" s="19"/>
      <c r="U134" s="19"/>
      <c r="V134" s="19"/>
      <c r="W134" s="19"/>
      <c r="X134" s="19"/>
      <c r="Y134" s="19"/>
      <c r="Z134" s="19"/>
      <c r="AA134" s="19"/>
    </row>
    <row r="135" spans="2:27" s="20" customFormat="1">
      <c r="B135" s="18"/>
      <c r="C135" s="57"/>
      <c r="M135" s="58"/>
      <c r="N135" s="58"/>
      <c r="O135" s="58"/>
      <c r="P135" s="58"/>
      <c r="Q135" s="18"/>
      <c r="R135" s="19"/>
      <c r="S135" s="19"/>
      <c r="T135" s="19"/>
      <c r="U135" s="19"/>
      <c r="V135" s="19"/>
      <c r="W135" s="19"/>
      <c r="X135" s="19"/>
      <c r="Y135" s="19"/>
      <c r="Z135" s="19"/>
      <c r="AA135" s="19"/>
    </row>
    <row r="136" spans="2:27" s="20" customFormat="1">
      <c r="B136" s="18"/>
      <c r="C136" s="57"/>
      <c r="M136" s="58"/>
      <c r="N136" s="58"/>
      <c r="O136" s="58"/>
      <c r="P136" s="58"/>
      <c r="Q136" s="18"/>
      <c r="R136" s="19"/>
      <c r="S136" s="19"/>
      <c r="T136" s="19"/>
      <c r="U136" s="19"/>
      <c r="V136" s="19"/>
      <c r="W136" s="19"/>
      <c r="X136" s="19"/>
      <c r="Y136" s="19"/>
      <c r="Z136" s="19"/>
      <c r="AA136" s="19"/>
    </row>
    <row r="137" spans="2:27" s="20" customFormat="1">
      <c r="B137" s="18"/>
      <c r="C137" s="57"/>
      <c r="M137" s="58"/>
      <c r="N137" s="58"/>
      <c r="O137" s="58"/>
      <c r="P137" s="58"/>
      <c r="Q137" s="18"/>
      <c r="R137" s="19"/>
      <c r="S137" s="19"/>
      <c r="T137" s="19"/>
      <c r="U137" s="19"/>
      <c r="V137" s="19"/>
      <c r="W137" s="19"/>
      <c r="X137" s="19"/>
      <c r="Y137" s="19"/>
      <c r="Z137" s="19"/>
      <c r="AA137" s="19"/>
    </row>
    <row r="138" spans="2:27" s="20" customFormat="1">
      <c r="B138" s="18"/>
      <c r="C138" s="57"/>
      <c r="M138" s="58"/>
      <c r="N138" s="58"/>
      <c r="O138" s="58"/>
      <c r="P138" s="58"/>
      <c r="Q138" s="18"/>
      <c r="R138" s="19"/>
      <c r="S138" s="19"/>
      <c r="T138" s="19"/>
      <c r="U138" s="19"/>
      <c r="V138" s="19"/>
      <c r="W138" s="19"/>
      <c r="X138" s="19"/>
      <c r="Y138" s="19"/>
      <c r="Z138" s="19"/>
      <c r="AA138" s="19"/>
    </row>
    <row r="139" spans="2:27" s="20" customFormat="1">
      <c r="B139" s="18"/>
      <c r="C139" s="57"/>
      <c r="M139" s="58"/>
      <c r="N139" s="58"/>
      <c r="O139" s="58"/>
      <c r="P139" s="58"/>
      <c r="Q139" s="18"/>
      <c r="R139" s="19"/>
      <c r="S139" s="19"/>
      <c r="T139" s="19"/>
      <c r="U139" s="19"/>
      <c r="V139" s="19"/>
      <c r="W139" s="19"/>
      <c r="X139" s="19"/>
      <c r="Y139" s="19"/>
      <c r="Z139" s="19"/>
      <c r="AA139" s="19"/>
    </row>
    <row r="140" spans="2:27" s="20" customFormat="1">
      <c r="B140" s="18"/>
      <c r="C140" s="57"/>
      <c r="M140" s="58"/>
      <c r="N140" s="58"/>
      <c r="O140" s="58"/>
      <c r="P140" s="58"/>
      <c r="Q140" s="18"/>
      <c r="R140" s="19"/>
      <c r="S140" s="19"/>
      <c r="T140" s="19"/>
      <c r="U140" s="19"/>
      <c r="V140" s="19"/>
      <c r="W140" s="19"/>
      <c r="X140" s="19"/>
      <c r="Y140" s="19"/>
      <c r="Z140" s="19"/>
      <c r="AA140" s="19"/>
    </row>
    <row r="141" spans="2:27" s="20" customFormat="1">
      <c r="B141" s="18"/>
      <c r="C141" s="57"/>
      <c r="M141" s="58"/>
      <c r="N141" s="58"/>
      <c r="O141" s="58"/>
      <c r="P141" s="58"/>
      <c r="Q141" s="18"/>
      <c r="R141" s="19"/>
      <c r="S141" s="19"/>
      <c r="T141" s="19"/>
      <c r="U141" s="19"/>
      <c r="V141" s="19"/>
      <c r="W141" s="19"/>
      <c r="X141" s="19"/>
      <c r="Y141" s="19"/>
      <c r="Z141" s="19"/>
      <c r="AA141" s="19"/>
    </row>
    <row r="142" spans="2:27" s="20" customFormat="1">
      <c r="B142" s="18"/>
      <c r="C142" s="57"/>
      <c r="M142" s="58"/>
      <c r="N142" s="58"/>
      <c r="O142" s="58"/>
      <c r="P142" s="58"/>
      <c r="Q142" s="18"/>
      <c r="R142" s="19"/>
      <c r="S142" s="19"/>
      <c r="T142" s="19"/>
      <c r="U142" s="19"/>
      <c r="V142" s="19"/>
      <c r="W142" s="19"/>
      <c r="X142" s="19"/>
      <c r="Y142" s="19"/>
      <c r="Z142" s="19"/>
      <c r="AA142" s="19"/>
    </row>
    <row r="143" spans="2:27" s="20" customFormat="1">
      <c r="B143" s="18"/>
      <c r="C143" s="57"/>
      <c r="M143" s="58"/>
      <c r="N143" s="58"/>
      <c r="O143" s="58"/>
      <c r="P143" s="58"/>
      <c r="Q143" s="18"/>
      <c r="R143" s="19"/>
      <c r="S143" s="19"/>
      <c r="T143" s="19"/>
      <c r="U143" s="19"/>
      <c r="V143" s="19"/>
      <c r="W143" s="19"/>
      <c r="X143" s="19"/>
      <c r="Y143" s="19"/>
      <c r="Z143" s="19"/>
      <c r="AA143" s="19"/>
    </row>
    <row r="144" spans="2:27" s="20" customFormat="1">
      <c r="B144" s="18"/>
      <c r="C144" s="57"/>
      <c r="M144" s="58"/>
      <c r="N144" s="58"/>
      <c r="O144" s="58"/>
      <c r="P144" s="58"/>
      <c r="Q144" s="18"/>
      <c r="R144" s="19"/>
      <c r="S144" s="19"/>
      <c r="T144" s="19"/>
      <c r="U144" s="19"/>
      <c r="V144" s="19"/>
      <c r="W144" s="19"/>
      <c r="X144" s="19"/>
      <c r="Y144" s="19"/>
      <c r="Z144" s="19"/>
      <c r="AA144" s="19"/>
    </row>
    <row r="145" spans="2:27" s="20" customFormat="1">
      <c r="B145" s="18"/>
      <c r="C145" s="57"/>
      <c r="M145" s="58"/>
      <c r="N145" s="58"/>
      <c r="O145" s="58"/>
      <c r="P145" s="58"/>
      <c r="Q145" s="18"/>
      <c r="R145" s="19"/>
      <c r="S145" s="19"/>
      <c r="T145" s="19"/>
      <c r="U145" s="19"/>
      <c r="V145" s="19"/>
      <c r="W145" s="19"/>
      <c r="X145" s="19"/>
      <c r="Y145" s="19"/>
      <c r="Z145" s="19"/>
      <c r="AA145" s="19"/>
    </row>
    <row r="146" spans="2:27" s="20" customFormat="1">
      <c r="B146" s="18"/>
      <c r="C146" s="57"/>
      <c r="M146" s="58"/>
      <c r="N146" s="58"/>
      <c r="O146" s="58"/>
      <c r="P146" s="58"/>
      <c r="Q146" s="18"/>
      <c r="R146" s="19"/>
      <c r="S146" s="19"/>
      <c r="T146" s="19"/>
      <c r="U146" s="19"/>
      <c r="V146" s="19"/>
      <c r="W146" s="19"/>
      <c r="X146" s="19"/>
      <c r="Y146" s="19"/>
      <c r="Z146" s="19"/>
      <c r="AA146" s="19"/>
    </row>
    <row r="147" spans="2:27" s="20" customFormat="1">
      <c r="B147" s="18"/>
      <c r="C147" s="57"/>
      <c r="M147" s="58"/>
      <c r="N147" s="58"/>
      <c r="O147" s="58"/>
      <c r="P147" s="58"/>
      <c r="Q147" s="18"/>
      <c r="R147" s="19"/>
      <c r="S147" s="19"/>
      <c r="T147" s="19"/>
      <c r="U147" s="19"/>
      <c r="V147" s="19"/>
      <c r="W147" s="19"/>
      <c r="X147" s="19"/>
      <c r="Y147" s="19"/>
      <c r="Z147" s="19"/>
      <c r="AA147" s="19"/>
    </row>
    <row r="148" spans="2:27" s="20" customFormat="1">
      <c r="B148" s="18"/>
      <c r="C148" s="57"/>
      <c r="M148" s="58"/>
      <c r="N148" s="58"/>
      <c r="O148" s="58"/>
      <c r="P148" s="58"/>
      <c r="Q148" s="18"/>
      <c r="R148" s="19"/>
      <c r="S148" s="19"/>
      <c r="T148" s="19"/>
      <c r="U148" s="19"/>
      <c r="V148" s="19"/>
      <c r="W148" s="19"/>
      <c r="X148" s="19"/>
      <c r="Y148" s="19"/>
      <c r="Z148" s="19"/>
      <c r="AA148" s="19"/>
    </row>
    <row r="149" spans="2:27" s="20" customFormat="1">
      <c r="B149" s="18"/>
      <c r="C149" s="57"/>
      <c r="M149" s="58"/>
      <c r="N149" s="58"/>
      <c r="O149" s="58"/>
      <c r="P149" s="58"/>
      <c r="Q149" s="18"/>
      <c r="R149" s="19"/>
      <c r="S149" s="19"/>
      <c r="T149" s="19"/>
      <c r="U149" s="19"/>
      <c r="V149" s="19"/>
      <c r="W149" s="19"/>
      <c r="X149" s="19"/>
      <c r="Y149" s="19"/>
      <c r="Z149" s="19"/>
      <c r="AA149" s="19"/>
    </row>
    <row r="150" spans="2:27" s="20" customFormat="1">
      <c r="B150" s="18"/>
      <c r="C150" s="57"/>
      <c r="M150" s="58"/>
      <c r="N150" s="58"/>
      <c r="O150" s="58"/>
      <c r="P150" s="58"/>
      <c r="Q150" s="18"/>
      <c r="R150" s="19"/>
      <c r="S150" s="19"/>
      <c r="T150" s="19"/>
      <c r="U150" s="19"/>
      <c r="V150" s="19"/>
      <c r="W150" s="19"/>
      <c r="X150" s="19"/>
      <c r="Y150" s="19"/>
      <c r="Z150" s="19"/>
      <c r="AA150" s="19"/>
    </row>
    <row r="151" spans="2:27" s="20" customFormat="1">
      <c r="B151" s="18"/>
      <c r="C151" s="57"/>
      <c r="M151" s="58"/>
      <c r="N151" s="58"/>
      <c r="O151" s="58"/>
      <c r="P151" s="58"/>
      <c r="Q151" s="18"/>
      <c r="R151" s="19"/>
      <c r="S151" s="19"/>
      <c r="T151" s="19"/>
      <c r="U151" s="19"/>
      <c r="V151" s="19"/>
      <c r="W151" s="19"/>
      <c r="X151" s="19"/>
      <c r="Y151" s="19"/>
      <c r="Z151" s="19"/>
      <c r="AA151" s="19"/>
    </row>
    <row r="152" spans="2:27" s="20" customFormat="1">
      <c r="B152" s="18"/>
      <c r="C152" s="57"/>
      <c r="M152" s="58"/>
      <c r="N152" s="58"/>
      <c r="O152" s="58"/>
      <c r="P152" s="58"/>
      <c r="Q152" s="18"/>
      <c r="R152" s="19"/>
      <c r="S152" s="19"/>
      <c r="T152" s="19"/>
      <c r="U152" s="19"/>
      <c r="V152" s="19"/>
      <c r="W152" s="19"/>
      <c r="X152" s="19"/>
      <c r="Y152" s="19"/>
      <c r="Z152" s="19"/>
      <c r="AA152" s="19"/>
    </row>
    <row r="153" spans="2:27" s="20" customFormat="1">
      <c r="B153" s="18"/>
      <c r="C153" s="57"/>
      <c r="M153" s="58"/>
      <c r="N153" s="58"/>
      <c r="O153" s="58"/>
      <c r="P153" s="58"/>
      <c r="Q153" s="18"/>
      <c r="R153" s="19"/>
      <c r="S153" s="19"/>
      <c r="T153" s="19"/>
      <c r="U153" s="19"/>
      <c r="V153" s="19"/>
      <c r="W153" s="19"/>
      <c r="X153" s="19"/>
      <c r="Y153" s="19"/>
      <c r="Z153" s="19"/>
      <c r="AA153" s="19"/>
    </row>
    <row r="154" spans="2:27" s="20" customFormat="1">
      <c r="B154" s="18"/>
      <c r="C154" s="57"/>
      <c r="M154" s="58"/>
      <c r="N154" s="58"/>
      <c r="O154" s="58"/>
      <c r="P154" s="58"/>
      <c r="Q154" s="18"/>
      <c r="R154" s="19"/>
      <c r="S154" s="19"/>
      <c r="T154" s="19"/>
      <c r="U154" s="19"/>
      <c r="V154" s="19"/>
      <c r="W154" s="19"/>
      <c r="X154" s="19"/>
      <c r="Y154" s="19"/>
      <c r="Z154" s="19"/>
      <c r="AA154" s="19"/>
    </row>
    <row r="155" spans="2:27" s="20" customFormat="1">
      <c r="B155" s="18"/>
      <c r="C155" s="57"/>
      <c r="M155" s="58"/>
      <c r="N155" s="58"/>
      <c r="O155" s="58"/>
      <c r="P155" s="58"/>
      <c r="Q155" s="18"/>
      <c r="R155" s="19"/>
      <c r="S155" s="19"/>
      <c r="T155" s="19"/>
      <c r="U155" s="19"/>
      <c r="V155" s="19"/>
      <c r="W155" s="19"/>
      <c r="X155" s="19"/>
      <c r="Y155" s="19"/>
      <c r="Z155" s="19"/>
      <c r="AA155" s="19"/>
    </row>
    <row r="156" spans="2:27" s="20" customFormat="1">
      <c r="B156" s="18"/>
      <c r="C156" s="57"/>
      <c r="M156" s="58"/>
      <c r="N156" s="58"/>
      <c r="O156" s="58"/>
      <c r="P156" s="58"/>
      <c r="Q156" s="18"/>
      <c r="R156" s="19"/>
      <c r="S156" s="19"/>
      <c r="T156" s="19"/>
      <c r="U156" s="19"/>
      <c r="V156" s="19"/>
      <c r="W156" s="19"/>
      <c r="X156" s="19"/>
      <c r="Y156" s="19"/>
      <c r="Z156" s="19"/>
      <c r="AA156" s="19"/>
    </row>
    <row r="157" spans="2:27" s="20" customFormat="1">
      <c r="B157" s="18"/>
      <c r="C157" s="57"/>
      <c r="M157" s="58"/>
      <c r="N157" s="58"/>
      <c r="O157" s="58"/>
      <c r="P157" s="58"/>
      <c r="Q157" s="18"/>
      <c r="R157" s="19"/>
      <c r="S157" s="19"/>
      <c r="T157" s="19"/>
      <c r="U157" s="19"/>
      <c r="V157" s="19"/>
      <c r="W157" s="19"/>
      <c r="X157" s="19"/>
      <c r="Y157" s="19"/>
      <c r="Z157" s="19"/>
      <c r="AA157" s="19"/>
    </row>
    <row r="158" spans="2:27" s="20" customFormat="1">
      <c r="B158" s="18"/>
      <c r="C158" s="57"/>
      <c r="M158" s="58"/>
      <c r="N158" s="58"/>
      <c r="O158" s="58"/>
      <c r="P158" s="58"/>
      <c r="Q158" s="18"/>
      <c r="R158" s="19"/>
      <c r="S158" s="19"/>
      <c r="T158" s="19"/>
      <c r="U158" s="19"/>
      <c r="V158" s="19"/>
      <c r="W158" s="19"/>
      <c r="X158" s="19"/>
      <c r="Y158" s="19"/>
      <c r="Z158" s="19"/>
      <c r="AA158" s="19"/>
    </row>
    <row r="159" spans="2:27" s="20" customFormat="1">
      <c r="B159" s="18"/>
      <c r="C159" s="57"/>
      <c r="M159" s="58"/>
      <c r="N159" s="58"/>
      <c r="O159" s="58"/>
      <c r="P159" s="58"/>
      <c r="Q159" s="18"/>
      <c r="R159" s="19"/>
      <c r="S159" s="19"/>
      <c r="T159" s="19"/>
      <c r="U159" s="19"/>
      <c r="V159" s="19"/>
      <c r="W159" s="19"/>
      <c r="X159" s="19"/>
      <c r="Y159" s="19"/>
      <c r="Z159" s="19"/>
      <c r="AA159" s="19"/>
    </row>
    <row r="160" spans="2:27" s="20" customFormat="1">
      <c r="B160" s="18"/>
      <c r="C160" s="57"/>
      <c r="M160" s="58"/>
      <c r="N160" s="58"/>
      <c r="O160" s="58"/>
      <c r="P160" s="58"/>
      <c r="Q160" s="18"/>
      <c r="R160" s="19"/>
      <c r="S160" s="19"/>
      <c r="T160" s="19"/>
      <c r="U160" s="19"/>
      <c r="V160" s="19"/>
      <c r="W160" s="19"/>
      <c r="X160" s="19"/>
      <c r="Y160" s="19"/>
      <c r="Z160" s="19"/>
      <c r="AA160" s="19"/>
    </row>
    <row r="161" spans="2:27" s="20" customFormat="1">
      <c r="B161" s="18"/>
      <c r="C161" s="57"/>
      <c r="M161" s="58"/>
      <c r="N161" s="58"/>
      <c r="O161" s="58"/>
      <c r="P161" s="58"/>
      <c r="Q161" s="18"/>
      <c r="R161" s="19"/>
      <c r="S161" s="19"/>
      <c r="T161" s="19"/>
      <c r="U161" s="19"/>
      <c r="V161" s="19"/>
      <c r="W161" s="19"/>
      <c r="X161" s="19"/>
      <c r="Y161" s="19"/>
      <c r="Z161" s="19"/>
      <c r="AA161" s="19"/>
    </row>
    <row r="162" spans="2:27" s="20" customFormat="1">
      <c r="B162" s="18"/>
      <c r="C162" s="57"/>
      <c r="M162" s="58"/>
      <c r="N162" s="58"/>
      <c r="O162" s="58"/>
      <c r="P162" s="58"/>
      <c r="Q162" s="18"/>
      <c r="R162" s="19"/>
      <c r="S162" s="19"/>
      <c r="T162" s="19"/>
      <c r="U162" s="19"/>
      <c r="V162" s="19"/>
      <c r="W162" s="19"/>
      <c r="X162" s="19"/>
      <c r="Y162" s="19"/>
      <c r="Z162" s="19"/>
      <c r="AA162" s="19"/>
    </row>
    <row r="163" spans="2:27" s="20" customFormat="1">
      <c r="B163" s="18"/>
      <c r="C163" s="57"/>
      <c r="M163" s="58"/>
      <c r="N163" s="58"/>
      <c r="O163" s="58"/>
      <c r="P163" s="58"/>
      <c r="Q163" s="18"/>
      <c r="R163" s="19"/>
      <c r="S163" s="19"/>
      <c r="T163" s="19"/>
      <c r="U163" s="19"/>
      <c r="V163" s="19"/>
      <c r="W163" s="19"/>
      <c r="X163" s="19"/>
      <c r="Y163" s="19"/>
      <c r="Z163" s="19"/>
      <c r="AA163" s="19"/>
    </row>
    <row r="164" spans="2:27" s="20" customFormat="1">
      <c r="B164" s="18"/>
      <c r="C164" s="57"/>
      <c r="M164" s="58"/>
      <c r="N164" s="58"/>
      <c r="O164" s="58"/>
      <c r="P164" s="58"/>
      <c r="Q164" s="18"/>
      <c r="R164" s="19"/>
      <c r="S164" s="19"/>
      <c r="T164" s="19"/>
      <c r="U164" s="19"/>
      <c r="V164" s="19"/>
      <c r="W164" s="19"/>
      <c r="X164" s="19"/>
      <c r="Y164" s="19"/>
      <c r="Z164" s="19"/>
      <c r="AA164" s="19"/>
    </row>
    <row r="165" spans="2:27" s="20" customFormat="1">
      <c r="B165" s="18"/>
      <c r="C165" s="57"/>
      <c r="M165" s="58"/>
      <c r="N165" s="58"/>
      <c r="O165" s="58"/>
      <c r="P165" s="58"/>
      <c r="Q165" s="18"/>
      <c r="R165" s="19"/>
      <c r="S165" s="19"/>
      <c r="T165" s="19"/>
      <c r="U165" s="19"/>
      <c r="V165" s="19"/>
      <c r="W165" s="19"/>
      <c r="X165" s="19"/>
      <c r="Y165" s="19"/>
      <c r="Z165" s="19"/>
      <c r="AA165" s="19"/>
    </row>
    <row r="166" spans="2:27" s="20" customFormat="1">
      <c r="B166" s="18"/>
      <c r="C166" s="57"/>
      <c r="M166" s="58"/>
      <c r="N166" s="58"/>
      <c r="O166" s="58"/>
      <c r="P166" s="58"/>
      <c r="Q166" s="18"/>
      <c r="R166" s="19"/>
      <c r="S166" s="19"/>
      <c r="T166" s="19"/>
      <c r="U166" s="19"/>
      <c r="V166" s="19"/>
      <c r="W166" s="19"/>
      <c r="X166" s="19"/>
      <c r="Y166" s="19"/>
      <c r="Z166" s="19"/>
      <c r="AA166" s="19"/>
    </row>
    <row r="167" spans="2:27" s="20" customFormat="1">
      <c r="B167" s="18"/>
      <c r="C167" s="57"/>
      <c r="M167" s="58"/>
      <c r="N167" s="58"/>
      <c r="O167" s="58"/>
      <c r="P167" s="58"/>
      <c r="Q167" s="18"/>
      <c r="R167" s="19"/>
      <c r="S167" s="19"/>
      <c r="T167" s="19"/>
      <c r="U167" s="19"/>
      <c r="V167" s="19"/>
      <c r="W167" s="19"/>
      <c r="X167" s="19"/>
      <c r="Y167" s="19"/>
      <c r="Z167" s="19"/>
      <c r="AA167" s="19"/>
    </row>
    <row r="168" spans="2:27" s="20" customFormat="1">
      <c r="B168" s="18"/>
      <c r="C168" s="57"/>
      <c r="M168" s="58"/>
      <c r="N168" s="58"/>
      <c r="O168" s="58"/>
      <c r="P168" s="58"/>
      <c r="Q168" s="18"/>
      <c r="R168" s="19"/>
      <c r="S168" s="19"/>
      <c r="T168" s="19"/>
      <c r="U168" s="19"/>
      <c r="V168" s="19"/>
      <c r="W168" s="19"/>
      <c r="X168" s="19"/>
      <c r="Y168" s="19"/>
      <c r="Z168" s="19"/>
      <c r="AA168" s="19"/>
    </row>
    <row r="169" spans="2:27" s="20" customFormat="1">
      <c r="B169" s="18"/>
      <c r="C169" s="57"/>
      <c r="M169" s="58"/>
      <c r="N169" s="58"/>
      <c r="O169" s="58"/>
      <c r="P169" s="58"/>
      <c r="Q169" s="18"/>
      <c r="R169" s="19"/>
      <c r="S169" s="19"/>
      <c r="T169" s="19"/>
      <c r="U169" s="19"/>
      <c r="V169" s="19"/>
      <c r="W169" s="19"/>
      <c r="X169" s="19"/>
      <c r="Y169" s="19"/>
      <c r="Z169" s="19"/>
      <c r="AA169" s="19"/>
    </row>
    <row r="170" spans="2:27" s="20" customFormat="1">
      <c r="B170" s="18"/>
      <c r="C170" s="57"/>
      <c r="M170" s="58"/>
      <c r="N170" s="58"/>
      <c r="O170" s="58"/>
      <c r="P170" s="58"/>
      <c r="Q170" s="18"/>
      <c r="R170" s="19"/>
      <c r="S170" s="19"/>
      <c r="T170" s="19"/>
      <c r="U170" s="19"/>
      <c r="V170" s="19"/>
      <c r="W170" s="19"/>
      <c r="X170" s="19"/>
      <c r="Y170" s="19"/>
      <c r="Z170" s="19"/>
      <c r="AA170" s="19"/>
    </row>
    <row r="171" spans="2:27" s="20" customFormat="1">
      <c r="B171" s="18"/>
      <c r="C171" s="57"/>
      <c r="M171" s="58"/>
      <c r="N171" s="58"/>
      <c r="O171" s="58"/>
      <c r="P171" s="58"/>
      <c r="Q171" s="18"/>
      <c r="R171" s="19"/>
      <c r="S171" s="19"/>
      <c r="T171" s="19"/>
      <c r="U171" s="19"/>
      <c r="V171" s="19"/>
      <c r="W171" s="19"/>
      <c r="X171" s="19"/>
      <c r="Y171" s="19"/>
      <c r="Z171" s="19"/>
      <c r="AA171" s="19"/>
    </row>
    <row r="172" spans="2:27" s="20" customFormat="1">
      <c r="B172" s="18"/>
      <c r="C172" s="57"/>
      <c r="M172" s="58"/>
      <c r="N172" s="58"/>
      <c r="O172" s="58"/>
      <c r="P172" s="58"/>
      <c r="Q172" s="18"/>
      <c r="R172" s="19"/>
      <c r="S172" s="19"/>
      <c r="T172" s="19"/>
      <c r="U172" s="19"/>
      <c r="V172" s="19"/>
      <c r="W172" s="19"/>
      <c r="X172" s="19"/>
      <c r="Y172" s="19"/>
      <c r="Z172" s="19"/>
      <c r="AA172" s="19"/>
    </row>
    <row r="173" spans="2:27" s="20" customFormat="1">
      <c r="B173" s="18"/>
      <c r="C173" s="57"/>
      <c r="M173" s="58"/>
      <c r="N173" s="58"/>
      <c r="O173" s="58"/>
      <c r="P173" s="58"/>
      <c r="Q173" s="18"/>
      <c r="R173" s="19"/>
      <c r="S173" s="19"/>
      <c r="T173" s="19"/>
      <c r="U173" s="19"/>
      <c r="V173" s="19"/>
      <c r="W173" s="19"/>
      <c r="X173" s="19"/>
      <c r="Y173" s="19"/>
      <c r="Z173" s="19"/>
      <c r="AA173" s="19"/>
    </row>
    <row r="174" spans="2:27" s="20" customFormat="1">
      <c r="B174" s="18"/>
      <c r="C174" s="57"/>
      <c r="M174" s="58"/>
      <c r="N174" s="58"/>
      <c r="O174" s="58"/>
      <c r="P174" s="58"/>
      <c r="Q174" s="18"/>
      <c r="R174" s="19"/>
      <c r="S174" s="19"/>
      <c r="T174" s="19"/>
      <c r="U174" s="19"/>
      <c r="V174" s="19"/>
      <c r="W174" s="19"/>
      <c r="X174" s="19"/>
      <c r="Y174" s="19"/>
      <c r="Z174" s="19"/>
      <c r="AA174" s="19"/>
    </row>
    <row r="175" spans="2:27" s="20" customFormat="1">
      <c r="B175" s="18"/>
      <c r="C175" s="57"/>
      <c r="M175" s="58"/>
      <c r="N175" s="58"/>
      <c r="O175" s="58"/>
      <c r="P175" s="58"/>
      <c r="Q175" s="18"/>
      <c r="R175" s="19"/>
      <c r="S175" s="19"/>
      <c r="T175" s="19"/>
      <c r="U175" s="19"/>
      <c r="V175" s="19"/>
      <c r="W175" s="19"/>
      <c r="X175" s="19"/>
      <c r="Y175" s="19"/>
      <c r="Z175" s="19"/>
      <c r="AA175" s="19"/>
    </row>
    <row r="176" spans="2:27" s="20" customFormat="1">
      <c r="B176" s="18"/>
      <c r="C176" s="57"/>
      <c r="M176" s="58"/>
      <c r="N176" s="58"/>
      <c r="O176" s="58"/>
      <c r="P176" s="58"/>
      <c r="Q176" s="18"/>
      <c r="R176" s="19"/>
      <c r="S176" s="19"/>
      <c r="T176" s="19"/>
      <c r="U176" s="19"/>
      <c r="V176" s="19"/>
      <c r="W176" s="19"/>
      <c r="X176" s="19"/>
      <c r="Y176" s="19"/>
      <c r="Z176" s="19"/>
      <c r="AA176" s="19"/>
    </row>
    <row r="177" spans="2:27" s="20" customFormat="1">
      <c r="B177" s="18"/>
      <c r="C177" s="57"/>
      <c r="M177" s="58"/>
      <c r="N177" s="58"/>
      <c r="O177" s="58"/>
      <c r="P177" s="58"/>
      <c r="Q177" s="18"/>
      <c r="R177" s="19"/>
      <c r="S177" s="19"/>
      <c r="T177" s="19"/>
      <c r="U177" s="19"/>
      <c r="V177" s="19"/>
      <c r="W177" s="19"/>
      <c r="X177" s="19"/>
      <c r="Y177" s="19"/>
      <c r="Z177" s="19"/>
      <c r="AA177" s="19"/>
    </row>
    <row r="178" spans="2:27" s="20" customFormat="1">
      <c r="B178" s="18"/>
      <c r="C178" s="57"/>
      <c r="M178" s="58"/>
      <c r="N178" s="58"/>
      <c r="O178" s="58"/>
      <c r="P178" s="58"/>
      <c r="Q178" s="18"/>
      <c r="R178" s="19"/>
      <c r="S178" s="19"/>
      <c r="T178" s="19"/>
      <c r="U178" s="19"/>
      <c r="V178" s="19"/>
      <c r="W178" s="19"/>
      <c r="X178" s="19"/>
      <c r="Y178" s="19"/>
      <c r="Z178" s="19"/>
      <c r="AA178" s="19"/>
    </row>
    <row r="179" spans="2:27" s="20" customFormat="1">
      <c r="B179" s="18"/>
      <c r="C179" s="57"/>
      <c r="M179" s="58"/>
      <c r="N179" s="58"/>
      <c r="O179" s="58"/>
      <c r="P179" s="58"/>
      <c r="Q179" s="18"/>
      <c r="R179" s="19"/>
      <c r="S179" s="19"/>
      <c r="T179" s="19"/>
      <c r="U179" s="19"/>
      <c r="V179" s="19"/>
      <c r="W179" s="19"/>
      <c r="X179" s="19"/>
      <c r="Y179" s="19"/>
      <c r="Z179" s="19"/>
      <c r="AA179" s="19"/>
    </row>
    <row r="180" spans="2:27" s="20" customFormat="1">
      <c r="B180" s="18"/>
      <c r="C180" s="57"/>
      <c r="M180" s="58"/>
      <c r="N180" s="58"/>
      <c r="O180" s="58"/>
      <c r="P180" s="58"/>
      <c r="Q180" s="18"/>
      <c r="R180" s="19"/>
      <c r="S180" s="19"/>
      <c r="T180" s="19"/>
      <c r="U180" s="19"/>
      <c r="V180" s="19"/>
      <c r="W180" s="19"/>
      <c r="X180" s="19"/>
      <c r="Y180" s="19"/>
      <c r="Z180" s="19"/>
      <c r="AA180" s="19"/>
    </row>
    <row r="181" spans="2:27" s="20" customFormat="1">
      <c r="B181" s="18"/>
      <c r="C181" s="57"/>
      <c r="M181" s="58"/>
      <c r="N181" s="58"/>
      <c r="O181" s="58"/>
      <c r="P181" s="58"/>
      <c r="Q181" s="18"/>
      <c r="R181" s="19"/>
      <c r="S181" s="19"/>
      <c r="T181" s="19"/>
      <c r="U181" s="19"/>
      <c r="V181" s="19"/>
      <c r="W181" s="19"/>
      <c r="X181" s="19"/>
      <c r="Y181" s="19"/>
      <c r="Z181" s="19"/>
      <c r="AA181" s="19"/>
    </row>
    <row r="182" spans="2:27" s="20" customFormat="1">
      <c r="B182" s="18"/>
      <c r="C182" s="57"/>
      <c r="M182" s="58"/>
      <c r="N182" s="58"/>
      <c r="O182" s="58"/>
      <c r="P182" s="58"/>
      <c r="Q182" s="18"/>
      <c r="R182" s="19"/>
      <c r="S182" s="19"/>
      <c r="T182" s="19"/>
      <c r="U182" s="19"/>
      <c r="V182" s="19"/>
      <c r="W182" s="19"/>
      <c r="X182" s="19"/>
      <c r="Y182" s="19"/>
      <c r="Z182" s="19"/>
      <c r="AA182" s="19"/>
    </row>
    <row r="183" spans="2:27" s="20" customFormat="1">
      <c r="B183" s="18"/>
      <c r="C183" s="57"/>
      <c r="M183" s="58"/>
      <c r="N183" s="58"/>
      <c r="O183" s="58"/>
      <c r="P183" s="58"/>
      <c r="Q183" s="18"/>
      <c r="R183" s="19"/>
      <c r="S183" s="19"/>
      <c r="T183" s="19"/>
      <c r="U183" s="19"/>
      <c r="V183" s="19"/>
      <c r="W183" s="19"/>
      <c r="X183" s="19"/>
      <c r="Y183" s="19"/>
      <c r="Z183" s="19"/>
      <c r="AA183" s="19"/>
    </row>
    <row r="184" spans="2:27" s="20" customFormat="1">
      <c r="B184" s="18"/>
      <c r="C184" s="57"/>
      <c r="M184" s="58"/>
      <c r="N184" s="58"/>
      <c r="O184" s="58"/>
      <c r="P184" s="58"/>
      <c r="Q184" s="18"/>
      <c r="R184" s="19"/>
      <c r="S184" s="19"/>
      <c r="T184" s="19"/>
      <c r="U184" s="19"/>
      <c r="V184" s="19"/>
      <c r="W184" s="19"/>
      <c r="X184" s="19"/>
      <c r="Y184" s="19"/>
      <c r="Z184" s="19"/>
      <c r="AA184" s="19"/>
    </row>
    <row r="185" spans="2:27" s="20" customFormat="1">
      <c r="B185" s="18"/>
      <c r="C185" s="57"/>
      <c r="M185" s="58"/>
      <c r="N185" s="58"/>
      <c r="O185" s="58"/>
      <c r="P185" s="58"/>
      <c r="Q185" s="18"/>
      <c r="R185" s="19"/>
      <c r="S185" s="19"/>
      <c r="T185" s="19"/>
      <c r="U185" s="19"/>
      <c r="V185" s="19"/>
      <c r="W185" s="19"/>
      <c r="X185" s="19"/>
      <c r="Y185" s="19"/>
      <c r="Z185" s="19"/>
      <c r="AA185" s="19"/>
    </row>
    <row r="186" spans="2:27" s="20" customFormat="1">
      <c r="B186" s="18"/>
      <c r="C186" s="57"/>
      <c r="M186" s="58"/>
      <c r="N186" s="58"/>
      <c r="O186" s="58"/>
      <c r="P186" s="58"/>
      <c r="Q186" s="18"/>
      <c r="R186" s="19"/>
      <c r="S186" s="19"/>
      <c r="T186" s="19"/>
      <c r="U186" s="19"/>
      <c r="V186" s="19"/>
      <c r="W186" s="19"/>
      <c r="X186" s="19"/>
      <c r="Y186" s="19"/>
      <c r="Z186" s="19"/>
      <c r="AA186" s="19"/>
    </row>
    <row r="187" spans="2:27" s="20" customFormat="1">
      <c r="B187" s="18"/>
      <c r="C187" s="57"/>
      <c r="M187" s="58"/>
      <c r="N187" s="58"/>
      <c r="O187" s="58"/>
      <c r="P187" s="58"/>
      <c r="Q187" s="18"/>
      <c r="R187" s="19"/>
      <c r="S187" s="19"/>
      <c r="T187" s="19"/>
      <c r="U187" s="19"/>
      <c r="V187" s="19"/>
      <c r="W187" s="19"/>
      <c r="X187" s="19"/>
      <c r="Y187" s="19"/>
      <c r="Z187" s="19"/>
      <c r="AA187" s="19"/>
    </row>
    <row r="188" spans="2:27" s="20" customFormat="1">
      <c r="B188" s="18"/>
      <c r="C188" s="57"/>
      <c r="M188" s="58"/>
      <c r="N188" s="58"/>
      <c r="O188" s="58"/>
      <c r="P188" s="58"/>
      <c r="Q188" s="18"/>
      <c r="R188" s="19"/>
      <c r="S188" s="19"/>
      <c r="T188" s="19"/>
      <c r="U188" s="19"/>
      <c r="V188" s="19"/>
      <c r="W188" s="19"/>
      <c r="X188" s="19"/>
      <c r="Y188" s="19"/>
      <c r="Z188" s="19"/>
      <c r="AA188" s="19"/>
    </row>
    <row r="189" spans="2:27" s="20" customFormat="1">
      <c r="B189" s="18"/>
      <c r="C189" s="57"/>
      <c r="M189" s="58"/>
      <c r="N189" s="58"/>
      <c r="O189" s="58"/>
      <c r="P189" s="58"/>
      <c r="Q189" s="18"/>
      <c r="R189" s="19"/>
      <c r="S189" s="19"/>
      <c r="T189" s="19"/>
      <c r="U189" s="19"/>
      <c r="V189" s="19"/>
      <c r="W189" s="19"/>
      <c r="X189" s="19"/>
      <c r="Y189" s="19"/>
      <c r="Z189" s="19"/>
      <c r="AA189" s="19"/>
    </row>
    <row r="190" spans="2:27" s="20" customFormat="1">
      <c r="B190" s="18"/>
      <c r="C190" s="57"/>
      <c r="M190" s="58"/>
      <c r="N190" s="58"/>
      <c r="O190" s="58"/>
      <c r="P190" s="58"/>
      <c r="Q190" s="18"/>
      <c r="R190" s="19"/>
      <c r="S190" s="19"/>
      <c r="T190" s="19"/>
      <c r="U190" s="19"/>
      <c r="V190" s="19"/>
      <c r="W190" s="19"/>
      <c r="X190" s="19"/>
      <c r="Y190" s="19"/>
      <c r="Z190" s="19"/>
      <c r="AA190" s="19"/>
    </row>
    <row r="191" spans="2:27" s="20" customFormat="1">
      <c r="B191" s="18"/>
      <c r="C191" s="57"/>
      <c r="M191" s="58"/>
      <c r="N191" s="58"/>
      <c r="O191" s="58"/>
      <c r="P191" s="58"/>
      <c r="Q191" s="18"/>
      <c r="R191" s="19"/>
      <c r="S191" s="19"/>
      <c r="T191" s="19"/>
      <c r="U191" s="19"/>
      <c r="V191" s="19"/>
      <c r="W191" s="19"/>
      <c r="X191" s="19"/>
      <c r="Y191" s="19"/>
      <c r="Z191" s="19"/>
      <c r="AA191" s="19"/>
    </row>
    <row r="192" spans="2:27" s="20" customFormat="1">
      <c r="B192" s="18"/>
      <c r="C192" s="57"/>
      <c r="M192" s="58"/>
      <c r="N192" s="58"/>
      <c r="O192" s="58"/>
      <c r="P192" s="58"/>
      <c r="Q192" s="18"/>
      <c r="R192" s="19"/>
      <c r="S192" s="19"/>
      <c r="T192" s="19"/>
      <c r="U192" s="19"/>
      <c r="V192" s="19"/>
      <c r="W192" s="19"/>
      <c r="X192" s="19"/>
      <c r="Y192" s="19"/>
      <c r="Z192" s="19"/>
      <c r="AA192" s="19"/>
    </row>
    <row r="193" spans="2:27" s="20" customFormat="1">
      <c r="B193" s="18"/>
      <c r="C193" s="57"/>
      <c r="M193" s="58"/>
      <c r="N193" s="58"/>
      <c r="O193" s="58"/>
      <c r="P193" s="58"/>
      <c r="Q193" s="18"/>
      <c r="R193" s="19"/>
      <c r="S193" s="19"/>
      <c r="T193" s="19"/>
      <c r="U193" s="19"/>
      <c r="V193" s="19"/>
      <c r="W193" s="19"/>
      <c r="X193" s="19"/>
      <c r="Y193" s="19"/>
      <c r="Z193" s="19"/>
      <c r="AA193" s="19"/>
    </row>
    <row r="194" spans="2:27" s="20" customFormat="1">
      <c r="B194" s="18"/>
      <c r="C194" s="57"/>
      <c r="M194" s="58"/>
      <c r="N194" s="58"/>
      <c r="O194" s="58"/>
      <c r="P194" s="58"/>
      <c r="Q194" s="18"/>
      <c r="R194" s="19"/>
      <c r="S194" s="19"/>
      <c r="T194" s="19"/>
      <c r="U194" s="19"/>
      <c r="V194" s="19"/>
      <c r="W194" s="19"/>
      <c r="X194" s="19"/>
      <c r="Y194" s="19"/>
      <c r="Z194" s="19"/>
      <c r="AA194" s="19"/>
    </row>
    <row r="195" spans="2:27" s="20" customFormat="1">
      <c r="B195" s="18"/>
      <c r="C195" s="57"/>
      <c r="M195" s="58"/>
      <c r="N195" s="58"/>
      <c r="O195" s="58"/>
      <c r="P195" s="58"/>
      <c r="Q195" s="18"/>
      <c r="R195" s="19"/>
      <c r="S195" s="19"/>
      <c r="T195" s="19"/>
      <c r="U195" s="19"/>
      <c r="V195" s="19"/>
      <c r="W195" s="19"/>
      <c r="X195" s="19"/>
      <c r="Y195" s="19"/>
      <c r="Z195" s="19"/>
      <c r="AA195" s="19"/>
    </row>
    <row r="196" spans="2:27" s="20" customFormat="1">
      <c r="B196" s="18"/>
      <c r="C196" s="57"/>
      <c r="M196" s="58"/>
      <c r="N196" s="58"/>
      <c r="O196" s="58"/>
      <c r="P196" s="58"/>
      <c r="Q196" s="18"/>
      <c r="R196" s="19"/>
      <c r="S196" s="19"/>
      <c r="T196" s="19"/>
      <c r="U196" s="19"/>
      <c r="V196" s="19"/>
      <c r="W196" s="19"/>
      <c r="X196" s="19"/>
      <c r="Y196" s="19"/>
      <c r="Z196" s="19"/>
      <c r="AA196" s="19"/>
    </row>
    <row r="197" spans="2:27" s="20" customFormat="1">
      <c r="B197" s="18"/>
      <c r="C197" s="57"/>
      <c r="M197" s="58"/>
      <c r="N197" s="58"/>
      <c r="O197" s="58"/>
      <c r="P197" s="58"/>
      <c r="Q197" s="18"/>
      <c r="R197" s="19"/>
      <c r="S197" s="19"/>
      <c r="T197" s="19"/>
      <c r="U197" s="19"/>
      <c r="V197" s="19"/>
      <c r="W197" s="19"/>
      <c r="X197" s="19"/>
      <c r="Y197" s="19"/>
      <c r="Z197" s="19"/>
      <c r="AA197" s="19"/>
    </row>
  </sheetData>
  <sheetProtection algorithmName="SHA-512" hashValue="hRC7gCW6ccr4/oPpAXHpxZBBVB9Fbtf5VYgP+NMwJzOhq7P4laQfdU54F3tWSBHjLJgtzRluctA4BGhWA212WQ==" saltValue="UgyOAcYfHPGq6JzVfp8OQQ==" spinCount="100000" sheet="1" autoFilter="0"/>
  <autoFilter ref="C13:H53" xr:uid="{00000000-0009-0000-0000-000002000000}"/>
  <mergeCells count="7">
    <mergeCell ref="C1:I2"/>
    <mergeCell ref="D8:D10"/>
    <mergeCell ref="D4:D5"/>
    <mergeCell ref="F5:I5"/>
    <mergeCell ref="F4:I4"/>
    <mergeCell ref="F7:I7"/>
    <mergeCell ref="F6:I6"/>
  </mergeCells>
  <conditionalFormatting sqref="C22:D22 F22 H22:I22">
    <cfRule type="cellIs" dxfId="41" priority="21" operator="equal">
      <formula>0</formula>
    </cfRule>
  </conditionalFormatting>
  <conditionalFormatting sqref="C24:D31">
    <cfRule type="containsBlanks" dxfId="40" priority="1">
      <formula>LEN(TRIM(C24))=0</formula>
    </cfRule>
  </conditionalFormatting>
  <conditionalFormatting sqref="C33:D33">
    <cfRule type="expression" dxfId="39" priority="50">
      <formula>"$P$17"</formula>
    </cfRule>
  </conditionalFormatting>
  <conditionalFormatting sqref="C33:D42 C13:I14 C15:D22 F16:I22 C23:I23 F34:I42">
    <cfRule type="containsBlanks" dxfId="38" priority="104">
      <formula>LEN(TRIM(C13))=0</formula>
    </cfRule>
  </conditionalFormatting>
  <conditionalFormatting sqref="C43:H43">
    <cfRule type="containsBlanks" dxfId="37" priority="18">
      <formula>LEN(TRIM(C43))=0</formula>
    </cfRule>
  </conditionalFormatting>
  <conditionalFormatting sqref="C44:I53">
    <cfRule type="expression" dxfId="36" priority="12">
      <formula>$N$5=100</formula>
    </cfRule>
  </conditionalFormatting>
  <conditionalFormatting sqref="C45:I53">
    <cfRule type="containsBlanks" dxfId="35" priority="15">
      <formula>LEN(TRIM(C45))=0</formula>
    </cfRule>
  </conditionalFormatting>
  <conditionalFormatting sqref="D3">
    <cfRule type="cellIs" dxfId="34" priority="65" operator="equal">
      <formula>FALSE</formula>
    </cfRule>
  </conditionalFormatting>
  <conditionalFormatting sqref="D8">
    <cfRule type="cellIs" dxfId="33" priority="39" operator="equal">
      <formula>"Errors Present! Please see Overview Page to view and resolve all errors"</formula>
    </cfRule>
    <cfRule type="cellIs" dxfId="32" priority="40" operator="equal">
      <formula>"Selection Free of Error! Please proceed with submission."</formula>
    </cfRule>
  </conditionalFormatting>
  <conditionalFormatting sqref="D22">
    <cfRule type="containsBlanks" dxfId="31" priority="103">
      <formula>LEN(TRIM(D22))=0</formula>
    </cfRule>
  </conditionalFormatting>
  <conditionalFormatting sqref="E13">
    <cfRule type="expression" dxfId="30" priority="28">
      <formula>SEARCH("TRUE",$O13)</formula>
    </cfRule>
  </conditionalFormatting>
  <conditionalFormatting sqref="E16:E22 E34:E42">
    <cfRule type="expression" dxfId="29" priority="38">
      <formula>COUNTIF($C16,"")</formula>
    </cfRule>
  </conditionalFormatting>
  <conditionalFormatting sqref="E25:E31">
    <cfRule type="expression" dxfId="28" priority="4">
      <formula>COUNTIF($C25,"")</formula>
    </cfRule>
  </conditionalFormatting>
  <conditionalFormatting sqref="E45:E53">
    <cfRule type="expression" dxfId="27" priority="14">
      <formula>D45=""</formula>
    </cfRule>
  </conditionalFormatting>
  <conditionalFormatting sqref="F22 H22">
    <cfRule type="expression" dxfId="26" priority="20">
      <formula>D22=""</formula>
    </cfRule>
  </conditionalFormatting>
  <conditionalFormatting sqref="F25:I31 C32:I32">
    <cfRule type="containsBlanks" dxfId="25" priority="5">
      <formula>LEN(TRIM(C25))=0</formula>
    </cfRule>
  </conditionalFormatting>
  <conditionalFormatting sqref="I45:I53">
    <cfRule type="expression" dxfId="24" priority="19">
      <formula>$N$5=100</formula>
    </cfRule>
  </conditionalFormatting>
  <conditionalFormatting sqref="V16">
    <cfRule type="expression" dxfId="23" priority="102">
      <formula>SEARCH("TRUE",$H16)</formula>
    </cfRule>
  </conditionalFormatting>
  <dataValidations disablePrompts="1" count="4">
    <dataValidation type="decimal" allowBlank="1" showInputMessage="1" showErrorMessage="1" error="Please only enter a value 0-10" prompt="Enter Percentage 0-10" sqref="H54:H1048576" xr:uid="{00000000-0002-0000-0200-000000000000}">
      <formula1>0</formula1>
      <formula2>10</formula2>
    </dataValidation>
    <dataValidation allowBlank="1" showInputMessage="1" showErrorMessage="1" errorTitle="Error" error="Cannot Choose eCQM and Admin Versions of the same measure" sqref="D3" xr:uid="{00000000-0002-0000-0200-000001000000}"/>
    <dataValidation type="custom" allowBlank="1" showInputMessage="1" showErrorMessage="1" errorTitle="Error" error="Cannot select the same admin and eCQM measure" sqref="L16:L17" xr:uid="{00000000-0002-0000-0200-000002000000}">
      <formula1>OR(AND(L16=TRUE,L17=FALSE),AND(L16=FALSE,L17=TRUE),AND(L16=FALSE,L17=FALSE))</formula1>
    </dataValidation>
    <dataValidation type="custom" allowBlank="1" showInputMessage="1" showErrorMessage="1" errorTitle="Error" error="Error Sample" sqref="E16:E17" xr:uid="{00000000-0002-0000-0200-000003000000}">
      <formula1>OR(AND(E16=TRUE,E17=FALSE),AND(E16=FALSE,E17=TRUE),AND(E16=FALSE,E17=FALSE))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218" r:id="rId4" name="Option Button 170">
              <controlPr defaultSize="0" autoFill="0" autoLine="0" autoPict="0">
                <anchor moveWithCells="1">
                  <from>
                    <xdr:col>4</xdr:col>
                    <xdr:colOff>457200</xdr:colOff>
                    <xdr:row>5</xdr:row>
                    <xdr:rowOff>9525</xdr:rowOff>
                  </from>
                  <to>
                    <xdr:col>4</xdr:col>
                    <xdr:colOff>771525</xdr:colOff>
                    <xdr:row>5</xdr:row>
                    <xdr:rowOff>228600</xdr:rowOff>
                  </to>
                </anchor>
              </controlPr>
            </control>
          </mc:Choice>
        </mc:AlternateContent>
        <mc:AlternateContent xmlns:mc="http://schemas.openxmlformats.org/markup-compatibility/2006">
          <mc:Choice Requires="x14">
            <control shapeId="2219" r:id="rId5" name="Option Button 171">
              <controlPr defaultSize="0" autoFill="0" autoLine="0" autoPict="0">
                <anchor moveWithCells="1">
                  <from>
                    <xdr:col>4</xdr:col>
                    <xdr:colOff>457200</xdr:colOff>
                    <xdr:row>6</xdr:row>
                    <xdr:rowOff>57150</xdr:rowOff>
                  </from>
                  <to>
                    <xdr:col>4</xdr:col>
                    <xdr:colOff>771525</xdr:colOff>
                    <xdr:row>6</xdr:row>
                    <xdr:rowOff>276225</xdr:rowOff>
                  </to>
                </anchor>
              </controlPr>
            </control>
          </mc:Choice>
        </mc:AlternateContent>
        <mc:AlternateContent xmlns:mc="http://schemas.openxmlformats.org/markup-compatibility/2006">
          <mc:Choice Requires="x14">
            <control shapeId="2264" r:id="rId6" name="Check Box 216">
              <controlPr defaultSize="0" autoFill="0" autoLine="0" autoPict="0">
                <anchor moveWithCells="1">
                  <from>
                    <xdr:col>4</xdr:col>
                    <xdr:colOff>466725</xdr:colOff>
                    <xdr:row>3</xdr:row>
                    <xdr:rowOff>38100</xdr:rowOff>
                  </from>
                  <to>
                    <xdr:col>4</xdr:col>
                    <xdr:colOff>723900</xdr:colOff>
                    <xdr:row>3</xdr:row>
                    <xdr:rowOff>342900</xdr:rowOff>
                  </to>
                </anchor>
              </controlPr>
            </control>
          </mc:Choice>
        </mc:AlternateContent>
        <mc:AlternateContent xmlns:mc="http://schemas.openxmlformats.org/markup-compatibility/2006">
          <mc:Choice Requires="x14">
            <control shapeId="2297" r:id="rId7" name="Check Box 249">
              <controlPr defaultSize="0" autoFill="0" autoLine="0" autoPict="0">
                <anchor moveWithCells="1">
                  <from>
                    <xdr:col>4</xdr:col>
                    <xdr:colOff>485775</xdr:colOff>
                    <xdr:row>44</xdr:row>
                    <xdr:rowOff>28575</xdr:rowOff>
                  </from>
                  <to>
                    <xdr:col>4</xdr:col>
                    <xdr:colOff>914400</xdr:colOff>
                    <xdr:row>45</xdr:row>
                    <xdr:rowOff>0</xdr:rowOff>
                  </to>
                </anchor>
              </controlPr>
            </control>
          </mc:Choice>
        </mc:AlternateContent>
        <mc:AlternateContent xmlns:mc="http://schemas.openxmlformats.org/markup-compatibility/2006">
          <mc:Choice Requires="x14">
            <control shapeId="2307" r:id="rId8" name="Check Box 259">
              <controlPr defaultSize="0" autoFill="0" autoLine="0" autoPict="0">
                <anchor moveWithCells="1">
                  <from>
                    <xdr:col>4</xdr:col>
                    <xdr:colOff>485775</xdr:colOff>
                    <xdr:row>15</xdr:row>
                    <xdr:rowOff>28575</xdr:rowOff>
                  </from>
                  <to>
                    <xdr:col>4</xdr:col>
                    <xdr:colOff>914400</xdr:colOff>
                    <xdr:row>16</xdr:row>
                    <xdr:rowOff>0</xdr:rowOff>
                  </to>
                </anchor>
              </controlPr>
            </control>
          </mc:Choice>
        </mc:AlternateContent>
        <mc:AlternateContent xmlns:mc="http://schemas.openxmlformats.org/markup-compatibility/2006">
          <mc:Choice Requires="x14">
            <control shapeId="2308" r:id="rId9" name="Check Box 260">
              <controlPr defaultSize="0" autoFill="0" autoLine="0" autoPict="0">
                <anchor moveWithCells="1">
                  <from>
                    <xdr:col>4</xdr:col>
                    <xdr:colOff>485775</xdr:colOff>
                    <xdr:row>17</xdr:row>
                    <xdr:rowOff>28575</xdr:rowOff>
                  </from>
                  <to>
                    <xdr:col>4</xdr:col>
                    <xdr:colOff>914400</xdr:colOff>
                    <xdr:row>18</xdr:row>
                    <xdr:rowOff>0</xdr:rowOff>
                  </to>
                </anchor>
              </controlPr>
            </control>
          </mc:Choice>
        </mc:AlternateContent>
        <mc:AlternateContent xmlns:mc="http://schemas.openxmlformats.org/markup-compatibility/2006">
          <mc:Choice Requires="x14">
            <control shapeId="2309" r:id="rId10" name="Check Box 261">
              <controlPr defaultSize="0" autoFill="0" autoLine="0" autoPict="0">
                <anchor moveWithCells="1">
                  <from>
                    <xdr:col>4</xdr:col>
                    <xdr:colOff>485775</xdr:colOff>
                    <xdr:row>19</xdr:row>
                    <xdr:rowOff>28575</xdr:rowOff>
                  </from>
                  <to>
                    <xdr:col>4</xdr:col>
                    <xdr:colOff>914400</xdr:colOff>
                    <xdr:row>20</xdr:row>
                    <xdr:rowOff>0</xdr:rowOff>
                  </to>
                </anchor>
              </controlPr>
            </control>
          </mc:Choice>
        </mc:AlternateContent>
        <mc:AlternateContent xmlns:mc="http://schemas.openxmlformats.org/markup-compatibility/2006">
          <mc:Choice Requires="x14">
            <control shapeId="2310" r:id="rId11" name="Check Box 262">
              <controlPr defaultSize="0" autoFill="0" autoLine="0" autoPict="0">
                <anchor moveWithCells="1">
                  <from>
                    <xdr:col>4</xdr:col>
                    <xdr:colOff>485775</xdr:colOff>
                    <xdr:row>18</xdr:row>
                    <xdr:rowOff>28575</xdr:rowOff>
                  </from>
                  <to>
                    <xdr:col>4</xdr:col>
                    <xdr:colOff>914400</xdr:colOff>
                    <xdr:row>19</xdr:row>
                    <xdr:rowOff>0</xdr:rowOff>
                  </to>
                </anchor>
              </controlPr>
            </control>
          </mc:Choice>
        </mc:AlternateContent>
        <mc:AlternateContent xmlns:mc="http://schemas.openxmlformats.org/markup-compatibility/2006">
          <mc:Choice Requires="x14">
            <control shapeId="2311" r:id="rId12" name="Check Box 263">
              <controlPr defaultSize="0" autoFill="0" autoLine="0" autoPict="0">
                <anchor moveWithCells="1">
                  <from>
                    <xdr:col>4</xdr:col>
                    <xdr:colOff>485775</xdr:colOff>
                    <xdr:row>16</xdr:row>
                    <xdr:rowOff>28575</xdr:rowOff>
                  </from>
                  <to>
                    <xdr:col>4</xdr:col>
                    <xdr:colOff>914400</xdr:colOff>
                    <xdr:row>17</xdr:row>
                    <xdr:rowOff>0</xdr:rowOff>
                  </to>
                </anchor>
              </controlPr>
            </control>
          </mc:Choice>
        </mc:AlternateContent>
        <mc:AlternateContent xmlns:mc="http://schemas.openxmlformats.org/markup-compatibility/2006">
          <mc:Choice Requires="x14">
            <control shapeId="2316" r:id="rId13" name="Check Box 268">
              <controlPr defaultSize="0" autoFill="0" autoLine="0" autoPict="0">
                <anchor moveWithCells="1">
                  <from>
                    <xdr:col>4</xdr:col>
                    <xdr:colOff>485775</xdr:colOff>
                    <xdr:row>33</xdr:row>
                    <xdr:rowOff>28575</xdr:rowOff>
                  </from>
                  <to>
                    <xdr:col>4</xdr:col>
                    <xdr:colOff>914400</xdr:colOff>
                    <xdr:row>34</xdr:row>
                    <xdr:rowOff>0</xdr:rowOff>
                  </to>
                </anchor>
              </controlPr>
            </control>
          </mc:Choice>
        </mc:AlternateContent>
        <mc:AlternateContent xmlns:mc="http://schemas.openxmlformats.org/markup-compatibility/2006">
          <mc:Choice Requires="x14">
            <control shapeId="2317" r:id="rId14" name="Check Box 269">
              <controlPr defaultSize="0" autoFill="0" autoLine="0" autoPict="0">
                <anchor moveWithCells="1">
                  <from>
                    <xdr:col>4</xdr:col>
                    <xdr:colOff>485775</xdr:colOff>
                    <xdr:row>34</xdr:row>
                    <xdr:rowOff>28575</xdr:rowOff>
                  </from>
                  <to>
                    <xdr:col>4</xdr:col>
                    <xdr:colOff>914400</xdr:colOff>
                    <xdr:row>35</xdr:row>
                    <xdr:rowOff>0</xdr:rowOff>
                  </to>
                </anchor>
              </controlPr>
            </control>
          </mc:Choice>
        </mc:AlternateContent>
        <mc:AlternateContent xmlns:mc="http://schemas.openxmlformats.org/markup-compatibility/2006">
          <mc:Choice Requires="x14">
            <control shapeId="2318" r:id="rId15" name="Check Box 270">
              <controlPr defaultSize="0" autoFill="0" autoLine="0" autoPict="0">
                <anchor moveWithCells="1">
                  <from>
                    <xdr:col>4</xdr:col>
                    <xdr:colOff>485775</xdr:colOff>
                    <xdr:row>35</xdr:row>
                    <xdr:rowOff>28575</xdr:rowOff>
                  </from>
                  <to>
                    <xdr:col>4</xdr:col>
                    <xdr:colOff>914400</xdr:colOff>
                    <xdr:row>36</xdr:row>
                    <xdr:rowOff>0</xdr:rowOff>
                  </to>
                </anchor>
              </controlPr>
            </control>
          </mc:Choice>
        </mc:AlternateContent>
        <mc:AlternateContent xmlns:mc="http://schemas.openxmlformats.org/markup-compatibility/2006">
          <mc:Choice Requires="x14">
            <control shapeId="2319" r:id="rId16" name="Check Box 271">
              <controlPr defaultSize="0" autoFill="0" autoLine="0" autoPict="0">
                <anchor moveWithCells="1">
                  <from>
                    <xdr:col>4</xdr:col>
                    <xdr:colOff>485775</xdr:colOff>
                    <xdr:row>36</xdr:row>
                    <xdr:rowOff>28575</xdr:rowOff>
                  </from>
                  <to>
                    <xdr:col>4</xdr:col>
                    <xdr:colOff>914400</xdr:colOff>
                    <xdr:row>37</xdr:row>
                    <xdr:rowOff>0</xdr:rowOff>
                  </to>
                </anchor>
              </controlPr>
            </control>
          </mc:Choice>
        </mc:AlternateContent>
        <mc:AlternateContent xmlns:mc="http://schemas.openxmlformats.org/markup-compatibility/2006">
          <mc:Choice Requires="x14">
            <control shapeId="2326" r:id="rId17" name="Check Box 278">
              <controlPr defaultSize="0" autoFill="0" autoLine="0" autoPict="0">
                <anchor moveWithCells="1">
                  <from>
                    <xdr:col>4</xdr:col>
                    <xdr:colOff>476250</xdr:colOff>
                    <xdr:row>26</xdr:row>
                    <xdr:rowOff>28575</xdr:rowOff>
                  </from>
                  <to>
                    <xdr:col>4</xdr:col>
                    <xdr:colOff>904875</xdr:colOff>
                    <xdr:row>27</xdr:row>
                    <xdr:rowOff>9525</xdr:rowOff>
                  </to>
                </anchor>
              </controlPr>
            </control>
          </mc:Choice>
        </mc:AlternateContent>
        <mc:AlternateContent xmlns:mc="http://schemas.openxmlformats.org/markup-compatibility/2006">
          <mc:Choice Requires="x14">
            <control shapeId="2327" r:id="rId18" name="Check Box 279">
              <controlPr defaultSize="0" autoFill="0" autoLine="0" autoPict="0">
                <anchor moveWithCells="1">
                  <from>
                    <xdr:col>4</xdr:col>
                    <xdr:colOff>485775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2328" r:id="rId19" name="Check Box 280">
              <controlPr defaultSize="0" autoFill="0" autoLine="0" autoPict="0">
                <anchor moveWithCells="1">
                  <from>
                    <xdr:col>4</xdr:col>
                    <xdr:colOff>485775</xdr:colOff>
                    <xdr:row>37</xdr:row>
                    <xdr:rowOff>28575</xdr:rowOff>
                  </from>
                  <to>
                    <xdr:col>4</xdr:col>
                    <xdr:colOff>914400</xdr:colOff>
                    <xdr:row>38</xdr:row>
                    <xdr:rowOff>0</xdr:rowOff>
                  </to>
                </anchor>
              </controlPr>
            </control>
          </mc:Choice>
        </mc:AlternateContent>
        <mc:AlternateContent xmlns:mc="http://schemas.openxmlformats.org/markup-compatibility/2006">
          <mc:Choice Requires="x14">
            <control shapeId="2331" r:id="rId20" name="Check Box 283">
              <controlPr defaultSize="0" autoFill="0" autoLine="0" autoPict="0">
                <anchor moveWithCells="1">
                  <from>
                    <xdr:col>4</xdr:col>
                    <xdr:colOff>476250</xdr:colOff>
                    <xdr:row>25</xdr:row>
                    <xdr:rowOff>19050</xdr:rowOff>
                  </from>
                  <to>
                    <xdr:col>4</xdr:col>
                    <xdr:colOff>904875</xdr:colOff>
                    <xdr:row>25</xdr:row>
                    <xdr:rowOff>247650</xdr:rowOff>
                  </to>
                </anchor>
              </controlPr>
            </control>
          </mc:Choice>
        </mc:AlternateContent>
        <mc:AlternateContent xmlns:mc="http://schemas.openxmlformats.org/markup-compatibility/2006">
          <mc:Choice Requires="x14">
            <control shapeId="2332" r:id="rId21" name="Check Box 284">
              <controlPr defaultSize="0" autoFill="0" autoLine="0" autoPict="0">
                <anchor moveWithCells="1">
                  <from>
                    <xdr:col>4</xdr:col>
                    <xdr:colOff>476250</xdr:colOff>
                    <xdr:row>24</xdr:row>
                    <xdr:rowOff>9525</xdr:rowOff>
                  </from>
                  <to>
                    <xdr:col>4</xdr:col>
                    <xdr:colOff>904875</xdr:colOff>
                    <xdr:row>24</xdr:row>
                    <xdr:rowOff>238125</xdr:rowOff>
                  </to>
                </anchor>
              </controlPr>
            </control>
          </mc:Choice>
        </mc:AlternateContent>
        <mc:AlternateContent xmlns:mc="http://schemas.openxmlformats.org/markup-compatibility/2006">
          <mc:Choice Requires="x14">
            <control shapeId="2338" r:id="rId22" name="Check Box 290">
              <controlPr defaultSize="0" autoFill="0" autoLine="0" autoPict="0">
                <anchor moveWithCells="1">
                  <from>
                    <xdr:col>4</xdr:col>
                    <xdr:colOff>485775</xdr:colOff>
                    <xdr:row>45</xdr:row>
                    <xdr:rowOff>28575</xdr:rowOff>
                  </from>
                  <to>
                    <xdr:col>4</xdr:col>
                    <xdr:colOff>914400</xdr:colOff>
                    <xdr:row>45</xdr:row>
                    <xdr:rowOff>247650</xdr:rowOff>
                  </to>
                </anchor>
              </controlPr>
            </control>
          </mc:Choice>
        </mc:AlternateContent>
        <mc:AlternateContent xmlns:mc="http://schemas.openxmlformats.org/markup-compatibility/2006">
          <mc:Choice Requires="x14">
            <control shapeId="2339" r:id="rId23" name="Check Box 291">
              <controlPr defaultSize="0" autoFill="0" autoLine="0" autoPict="0">
                <anchor moveWithCells="1">
                  <from>
                    <xdr:col>4</xdr:col>
                    <xdr:colOff>485775</xdr:colOff>
                    <xdr:row>46</xdr:row>
                    <xdr:rowOff>28575</xdr:rowOff>
                  </from>
                  <to>
                    <xdr:col>4</xdr:col>
                    <xdr:colOff>914400</xdr:colOff>
                    <xdr:row>46</xdr:row>
                    <xdr:rowOff>247650</xdr:rowOff>
                  </to>
                </anchor>
              </controlPr>
            </control>
          </mc:Choice>
        </mc:AlternateContent>
        <mc:AlternateContent xmlns:mc="http://schemas.openxmlformats.org/markup-compatibility/2006">
          <mc:Choice Requires="x14">
            <control shapeId="2340" r:id="rId24" name="Check Box 292">
              <controlPr defaultSize="0" autoFill="0" autoLine="0" autoPict="0">
                <anchor moveWithCells="1">
                  <from>
                    <xdr:col>4</xdr:col>
                    <xdr:colOff>485775</xdr:colOff>
                    <xdr:row>47</xdr:row>
                    <xdr:rowOff>28575</xdr:rowOff>
                  </from>
                  <to>
                    <xdr:col>4</xdr:col>
                    <xdr:colOff>914400</xdr:colOff>
                    <xdr:row>47</xdr:row>
                    <xdr:rowOff>247650</xdr:rowOff>
                  </to>
                </anchor>
              </controlPr>
            </control>
          </mc:Choice>
        </mc:AlternateContent>
        <mc:AlternateContent xmlns:mc="http://schemas.openxmlformats.org/markup-compatibility/2006">
          <mc:Choice Requires="x14">
            <control shapeId="2341" r:id="rId25" name="Check Box 293">
              <controlPr defaultSize="0" autoFill="0" autoLine="0" autoPict="0">
                <anchor moveWithCells="1">
                  <from>
                    <xdr:col>4</xdr:col>
                    <xdr:colOff>485775</xdr:colOff>
                    <xdr:row>48</xdr:row>
                    <xdr:rowOff>28575</xdr:rowOff>
                  </from>
                  <to>
                    <xdr:col>4</xdr:col>
                    <xdr:colOff>914400</xdr:colOff>
                    <xdr:row>48</xdr:row>
                    <xdr:rowOff>247650</xdr:rowOff>
                  </to>
                </anchor>
              </controlPr>
            </control>
          </mc:Choice>
        </mc:AlternateContent>
        <mc:AlternateContent xmlns:mc="http://schemas.openxmlformats.org/markup-compatibility/2006">
          <mc:Choice Requires="x14">
            <control shapeId="2342" r:id="rId26" name="Check Box 294">
              <controlPr defaultSize="0" autoFill="0" autoLine="0" autoPict="0">
                <anchor moveWithCells="1">
                  <from>
                    <xdr:col>4</xdr:col>
                    <xdr:colOff>485775</xdr:colOff>
                    <xdr:row>49</xdr:row>
                    <xdr:rowOff>28575</xdr:rowOff>
                  </from>
                  <to>
                    <xdr:col>4</xdr:col>
                    <xdr:colOff>914400</xdr:colOff>
                    <xdr:row>49</xdr:row>
                    <xdr:rowOff>247650</xdr:rowOff>
                  </to>
                </anchor>
              </controlPr>
            </control>
          </mc:Choice>
        </mc:AlternateContent>
        <mc:AlternateContent xmlns:mc="http://schemas.openxmlformats.org/markup-compatibility/2006">
          <mc:Choice Requires="x14">
            <control shapeId="2343" r:id="rId27" name="Check Box 295">
              <controlPr defaultSize="0" autoFill="0" autoLine="0" autoPict="0">
                <anchor moveWithCells="1">
                  <from>
                    <xdr:col>4</xdr:col>
                    <xdr:colOff>485775</xdr:colOff>
                    <xdr:row>50</xdr:row>
                    <xdr:rowOff>28575</xdr:rowOff>
                  </from>
                  <to>
                    <xdr:col>4</xdr:col>
                    <xdr:colOff>914400</xdr:colOff>
                    <xdr:row>50</xdr:row>
                    <xdr:rowOff>247650</xdr:rowOff>
                  </to>
                </anchor>
              </controlPr>
            </control>
          </mc:Choice>
        </mc:AlternateContent>
        <mc:AlternateContent xmlns:mc="http://schemas.openxmlformats.org/markup-compatibility/2006">
          <mc:Choice Requires="x14">
            <control shapeId="2344" r:id="rId28" name="Check Box 296">
              <controlPr defaultSize="0" autoFill="0" autoLine="0" autoPict="0">
                <anchor moveWithCells="1">
                  <from>
                    <xdr:col>4</xdr:col>
                    <xdr:colOff>485775</xdr:colOff>
                    <xdr:row>51</xdr:row>
                    <xdr:rowOff>28575</xdr:rowOff>
                  </from>
                  <to>
                    <xdr:col>4</xdr:col>
                    <xdr:colOff>914400</xdr:colOff>
                    <xdr:row>51</xdr:row>
                    <xdr:rowOff>247650</xdr:rowOff>
                  </to>
                </anchor>
              </controlPr>
            </control>
          </mc:Choice>
        </mc:AlternateContent>
        <mc:AlternateContent xmlns:mc="http://schemas.openxmlformats.org/markup-compatibility/2006">
          <mc:Choice Requires="x14">
            <control shapeId="2345" r:id="rId29" name="Check Box 297">
              <controlPr defaultSize="0" autoFill="0" autoLine="0" autoPict="0">
                <anchor moveWithCells="1">
                  <from>
                    <xdr:col>4</xdr:col>
                    <xdr:colOff>485775</xdr:colOff>
                    <xdr:row>52</xdr:row>
                    <xdr:rowOff>28575</xdr:rowOff>
                  </from>
                  <to>
                    <xdr:col>4</xdr:col>
                    <xdr:colOff>914400</xdr:colOff>
                    <xdr:row>52</xdr:row>
                    <xdr:rowOff>247650</xdr:rowOff>
                  </to>
                </anchor>
              </controlPr>
            </control>
          </mc:Choice>
        </mc:AlternateContent>
        <mc:AlternateContent xmlns:mc="http://schemas.openxmlformats.org/markup-compatibility/2006">
          <mc:Choice Requires="x14">
            <control shapeId="2346" r:id="rId30" name="Check Box 298">
              <controlPr defaultSize="0" autoFill="0" autoLine="0" autoPict="0">
                <anchor moveWithCells="1">
                  <from>
                    <xdr:col>4</xdr:col>
                    <xdr:colOff>485775</xdr:colOff>
                    <xdr:row>21</xdr:row>
                    <xdr:rowOff>28575</xdr:rowOff>
                  </from>
                  <to>
                    <xdr:col>4</xdr:col>
                    <xdr:colOff>914400</xdr:colOff>
                    <xdr:row>22</xdr:row>
                    <xdr:rowOff>0</xdr:rowOff>
                  </to>
                </anchor>
              </controlPr>
            </control>
          </mc:Choice>
        </mc:AlternateContent>
        <mc:AlternateContent xmlns:mc="http://schemas.openxmlformats.org/markup-compatibility/2006">
          <mc:Choice Requires="x14">
            <control shapeId="2349" r:id="rId31" name="Check Box 301">
              <controlPr defaultSize="0" autoFill="0" autoLine="0" autoPict="0">
                <anchor moveWithCells="1">
                  <from>
                    <xdr:col>4</xdr:col>
                    <xdr:colOff>485775</xdr:colOff>
                    <xdr:row>36</xdr:row>
                    <xdr:rowOff>28575</xdr:rowOff>
                  </from>
                  <to>
                    <xdr:col>4</xdr:col>
                    <xdr:colOff>914400</xdr:colOff>
                    <xdr:row>37</xdr:row>
                    <xdr:rowOff>0</xdr:rowOff>
                  </to>
                </anchor>
              </controlPr>
            </control>
          </mc:Choice>
        </mc:AlternateContent>
        <mc:AlternateContent xmlns:mc="http://schemas.openxmlformats.org/markup-compatibility/2006">
          <mc:Choice Requires="x14">
            <control shapeId="2350" r:id="rId32" name="Check Box 302">
              <controlPr defaultSize="0" autoFill="0" autoLine="0" autoPict="0">
                <anchor moveWithCells="1">
                  <from>
                    <xdr:col>4</xdr:col>
                    <xdr:colOff>485775</xdr:colOff>
                    <xdr:row>37</xdr:row>
                    <xdr:rowOff>28575</xdr:rowOff>
                  </from>
                  <to>
                    <xdr:col>4</xdr:col>
                    <xdr:colOff>914400</xdr:colOff>
                    <xdr:row>38</xdr:row>
                    <xdr:rowOff>0</xdr:rowOff>
                  </to>
                </anchor>
              </controlPr>
            </control>
          </mc:Choice>
        </mc:AlternateContent>
        <mc:AlternateContent xmlns:mc="http://schemas.openxmlformats.org/markup-compatibility/2006">
          <mc:Choice Requires="x14">
            <control shapeId="2361" r:id="rId33" name="Check Box 313">
              <controlPr defaultSize="0" autoFill="0" autoLine="0" autoPict="0">
                <anchor moveWithCells="1">
                  <from>
                    <xdr:col>4</xdr:col>
                    <xdr:colOff>485775</xdr:colOff>
                    <xdr:row>38</xdr:row>
                    <xdr:rowOff>38100</xdr:rowOff>
                  </from>
                  <to>
                    <xdr:col>4</xdr:col>
                    <xdr:colOff>914400</xdr:colOff>
                    <xdr:row>39</xdr:row>
                    <xdr:rowOff>9525</xdr:rowOff>
                  </to>
                </anchor>
              </controlPr>
            </control>
          </mc:Choice>
        </mc:AlternateContent>
        <mc:AlternateContent xmlns:mc="http://schemas.openxmlformats.org/markup-compatibility/2006">
          <mc:Choice Requires="x14">
            <control shapeId="2363" r:id="rId34" name="Check Box 315">
              <controlPr defaultSize="0" autoFill="0" autoLine="0" autoPict="0">
                <anchor moveWithCells="1">
                  <from>
                    <xdr:col>4</xdr:col>
                    <xdr:colOff>485775</xdr:colOff>
                    <xdr:row>39</xdr:row>
                    <xdr:rowOff>28575</xdr:rowOff>
                  </from>
                  <to>
                    <xdr:col>4</xdr:col>
                    <xdr:colOff>914400</xdr:colOff>
                    <xdr:row>40</xdr:row>
                    <xdr:rowOff>0</xdr:rowOff>
                  </to>
                </anchor>
              </controlPr>
            </control>
          </mc:Choice>
        </mc:AlternateContent>
        <mc:AlternateContent xmlns:mc="http://schemas.openxmlformats.org/markup-compatibility/2006">
          <mc:Choice Requires="x14">
            <control shapeId="2364" r:id="rId35" name="Check Box 316">
              <controlPr defaultSize="0" autoFill="0" autoLine="0" autoPict="0">
                <anchor moveWithCells="1">
                  <from>
                    <xdr:col>4</xdr:col>
                    <xdr:colOff>485775</xdr:colOff>
                    <xdr:row>40</xdr:row>
                    <xdr:rowOff>28575</xdr:rowOff>
                  </from>
                  <to>
                    <xdr:col>4</xdr:col>
                    <xdr:colOff>914400</xdr:colOff>
                    <xdr:row>41</xdr:row>
                    <xdr:rowOff>0</xdr:rowOff>
                  </to>
                </anchor>
              </controlPr>
            </control>
          </mc:Choice>
        </mc:AlternateContent>
        <mc:AlternateContent xmlns:mc="http://schemas.openxmlformats.org/markup-compatibility/2006">
          <mc:Choice Requires="x14">
            <control shapeId="2365" r:id="rId36" name="Check Box 317">
              <controlPr defaultSize="0" autoFill="0" autoLine="0" autoPict="0">
                <anchor moveWithCells="1">
                  <from>
                    <xdr:col>4</xdr:col>
                    <xdr:colOff>485775</xdr:colOff>
                    <xdr:row>41</xdr:row>
                    <xdr:rowOff>28575</xdr:rowOff>
                  </from>
                  <to>
                    <xdr:col>4</xdr:col>
                    <xdr:colOff>914400</xdr:colOff>
                    <xdr:row>42</xdr:row>
                    <xdr:rowOff>0</xdr:rowOff>
                  </to>
                </anchor>
              </controlPr>
            </control>
          </mc:Choice>
        </mc:AlternateContent>
        <mc:AlternateContent xmlns:mc="http://schemas.openxmlformats.org/markup-compatibility/2006">
          <mc:Choice Requires="x14">
            <control shapeId="2371" r:id="rId37" name="Check Box 323">
              <controlPr defaultSize="0" autoFill="0" autoLine="0" autoPict="0">
                <anchor moveWithCells="1">
                  <from>
                    <xdr:col>4</xdr:col>
                    <xdr:colOff>485775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2388" r:id="rId38" name="Check Box 340">
              <controlPr defaultSize="0" autoFill="0" autoLine="0" autoPict="0">
                <anchor moveWithCells="1">
                  <from>
                    <xdr:col>4</xdr:col>
                    <xdr:colOff>476250</xdr:colOff>
                    <xdr:row>27</xdr:row>
                    <xdr:rowOff>9525</xdr:rowOff>
                  </from>
                  <to>
                    <xdr:col>4</xdr:col>
                    <xdr:colOff>904875</xdr:colOff>
                    <xdr:row>27</xdr:row>
                    <xdr:rowOff>238125</xdr:rowOff>
                  </to>
                </anchor>
              </controlPr>
            </control>
          </mc:Choice>
        </mc:AlternateContent>
        <mc:AlternateContent xmlns:mc="http://schemas.openxmlformats.org/markup-compatibility/2006">
          <mc:Choice Requires="x14">
            <control shapeId="2389" r:id="rId39" name="Check Box 341">
              <controlPr defaultSize="0" autoFill="0" autoLine="0" autoPict="0">
                <anchor moveWithCells="1">
                  <from>
                    <xdr:col>4</xdr:col>
                    <xdr:colOff>476250</xdr:colOff>
                    <xdr:row>28</xdr:row>
                    <xdr:rowOff>9525</xdr:rowOff>
                  </from>
                  <to>
                    <xdr:col>4</xdr:col>
                    <xdr:colOff>904875</xdr:colOff>
                    <xdr:row>28</xdr:row>
                    <xdr:rowOff>238125</xdr:rowOff>
                  </to>
                </anchor>
              </controlPr>
            </control>
          </mc:Choice>
        </mc:AlternateContent>
        <mc:AlternateContent xmlns:mc="http://schemas.openxmlformats.org/markup-compatibility/2006">
          <mc:Choice Requires="x14">
            <control shapeId="2390" r:id="rId40" name="Check Box 342">
              <controlPr defaultSize="0" autoFill="0" autoLine="0" autoPict="0">
                <anchor moveWithCells="1">
                  <from>
                    <xdr:col>4</xdr:col>
                    <xdr:colOff>476250</xdr:colOff>
                    <xdr:row>29</xdr:row>
                    <xdr:rowOff>9525</xdr:rowOff>
                  </from>
                  <to>
                    <xdr:col>4</xdr:col>
                    <xdr:colOff>904875</xdr:colOff>
                    <xdr:row>29</xdr:row>
                    <xdr:rowOff>238125</xdr:rowOff>
                  </to>
                </anchor>
              </controlPr>
            </control>
          </mc:Choice>
        </mc:AlternateContent>
        <mc:AlternateContent xmlns:mc="http://schemas.openxmlformats.org/markup-compatibility/2006">
          <mc:Choice Requires="x14">
            <control shapeId="2393" r:id="rId41" name="Check Box 345">
              <controlPr defaultSize="0" autoFill="0" autoLine="0" autoPict="0">
                <anchor moveWithCells="1">
                  <from>
                    <xdr:col>4</xdr:col>
                    <xdr:colOff>476250</xdr:colOff>
                    <xdr:row>30</xdr:row>
                    <xdr:rowOff>9525</xdr:rowOff>
                  </from>
                  <to>
                    <xdr:col>4</xdr:col>
                    <xdr:colOff>904875</xdr:colOff>
                    <xdr:row>30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BED9E8"/>
  </sheetPr>
  <dimension ref="A1:AS383"/>
  <sheetViews>
    <sheetView showGridLines="0" topLeftCell="B1" zoomScale="80" zoomScaleNormal="80" workbookViewId="0">
      <pane ySplit="3" topLeftCell="A4" activePane="bottomLeft" state="frozen"/>
      <selection activeCell="B1" sqref="B1"/>
      <selection pane="bottomLeft" activeCell="D16" sqref="D16"/>
    </sheetView>
  </sheetViews>
  <sheetFormatPr defaultRowHeight="14.25"/>
  <cols>
    <col min="1" max="1" width="5.7109375" style="145" hidden="1" customWidth="1"/>
    <col min="2" max="2" width="16.140625" style="134" customWidth="1"/>
    <col min="3" max="3" width="108.140625" style="134" customWidth="1"/>
    <col min="4" max="7" width="16.42578125" style="153" customWidth="1"/>
    <col min="8" max="8" width="14.85546875" style="134" customWidth="1"/>
    <col min="9" max="9" width="24.140625" style="134" bestFit="1" customWidth="1"/>
    <col min="10" max="10" width="15.7109375" style="134" customWidth="1"/>
    <col min="11" max="12" width="14.85546875" style="134" customWidth="1"/>
    <col min="13" max="13" width="14.85546875" style="17" customWidth="1"/>
    <col min="14" max="14" width="18.140625" style="134" customWidth="1"/>
    <col min="15" max="15" width="18.7109375" style="134" hidden="1" customWidth="1"/>
    <col min="16" max="16" width="30" style="134" hidden="1" customWidth="1"/>
    <col min="17" max="17" width="23.42578125" style="134" hidden="1" customWidth="1"/>
    <col min="18" max="18" width="26" style="134" hidden="1" customWidth="1"/>
    <col min="19" max="19" width="13.42578125" style="134" hidden="1" customWidth="1"/>
    <col min="20" max="20" width="13.140625" style="134" hidden="1" customWidth="1"/>
    <col min="21" max="21" width="8.42578125" style="134" customWidth="1"/>
    <col min="22" max="16384" width="9.140625" style="134"/>
  </cols>
  <sheetData>
    <row r="1" spans="1:45" s="145" customFormat="1" ht="33.75" customHeight="1" thickBot="1">
      <c r="A1" s="144"/>
      <c r="B1" s="549" t="s">
        <v>444</v>
      </c>
      <c r="C1" s="550"/>
      <c r="D1" s="550"/>
      <c r="E1" s="550"/>
      <c r="F1" s="550"/>
      <c r="G1" s="550"/>
      <c r="H1" s="550"/>
      <c r="I1" s="550"/>
      <c r="J1" s="550"/>
      <c r="K1" s="550"/>
      <c r="L1" s="550"/>
      <c r="M1" s="550"/>
      <c r="N1" s="551"/>
      <c r="P1" s="134"/>
    </row>
    <row r="2" spans="1:45" ht="49.5" customHeight="1" thickBot="1">
      <c r="B2" s="552" t="s">
        <v>581</v>
      </c>
      <c r="C2" s="552"/>
      <c r="D2" s="552"/>
      <c r="E2" s="552"/>
      <c r="F2" s="552"/>
      <c r="G2" s="552"/>
      <c r="H2" s="552"/>
      <c r="I2" s="552"/>
      <c r="J2" s="552"/>
      <c r="K2" s="552"/>
      <c r="L2" s="552"/>
      <c r="M2" s="552"/>
      <c r="N2" s="552"/>
      <c r="O2" s="145"/>
      <c r="P2" s="146"/>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row>
    <row r="3" spans="1:45" ht="82.5" customHeight="1">
      <c r="B3" s="93" t="s">
        <v>0</v>
      </c>
      <c r="C3" s="94" t="s">
        <v>1</v>
      </c>
      <c r="D3" s="95" t="s">
        <v>408</v>
      </c>
      <c r="E3" s="95" t="s">
        <v>583</v>
      </c>
      <c r="F3" s="95" t="s">
        <v>445</v>
      </c>
      <c r="G3" s="95" t="s">
        <v>576</v>
      </c>
      <c r="H3" s="96" t="s">
        <v>446</v>
      </c>
      <c r="I3" s="96" t="s">
        <v>54</v>
      </c>
      <c r="J3" s="96" t="s">
        <v>447</v>
      </c>
      <c r="K3" s="96" t="s">
        <v>448</v>
      </c>
      <c r="L3" s="96" t="s">
        <v>449</v>
      </c>
      <c r="M3" s="92" t="s">
        <v>3</v>
      </c>
      <c r="N3" s="97" t="s">
        <v>65</v>
      </c>
      <c r="O3" s="148" t="s">
        <v>21</v>
      </c>
      <c r="P3" s="147" t="s">
        <v>64</v>
      </c>
      <c r="Q3" s="147" t="s">
        <v>46</v>
      </c>
      <c r="R3" s="147" t="s">
        <v>500</v>
      </c>
      <c r="S3" s="147" t="s">
        <v>62</v>
      </c>
      <c r="T3" s="148" t="s">
        <v>61</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row>
    <row r="4" spans="1:45">
      <c r="B4" s="118" t="str">
        <f>IF('1. Measure Selection'!$M$4=1,DataValTab!E50,
IF('1. Measure Selection'!$M$4=2,DataValTab!K50,
""))</f>
        <v/>
      </c>
      <c r="C4" s="118" t="str">
        <f>IF('1. Measure Selection'!$M$4=1,DataValTab!$F50,
IF('1. Measure Selection'!$M$4=2,DataValTab!$L50,
""))</f>
        <v/>
      </c>
      <c r="D4" s="98"/>
      <c r="E4" s="280"/>
      <c r="F4" s="98"/>
      <c r="G4" s="280"/>
      <c r="H4" s="99" t="str">
        <f>IF('1. Measure Selection'!$M$4=1,VLOOKUP(B4&amp;C4,DataValTab!$C$49:$I$81,5,FALSE),
IF('1. Measure Selection'!$M$4=2,VLOOKUP(B4&amp;C4,DataValTab!$D$49:$M$81,10,FALSE),
""))</f>
        <v/>
      </c>
      <c r="I4" s="266" t="str">
        <f>IF(AND(Q4=TRUE,B4="Structural",F4="Measure Met"),"Goal Met",
IF(AND(Q4=FALSE,B4="Structural"),"",
IF(ISBLANK(F4),"",
IF(H4="TBD","TBD",
IF(AND('1. Measure Selection'!$M$4=1,F4&lt;H4),"Goal Not Met",
IF(AND('1. Measure Selection'!$M$4=1,F4=H4),"Goal Met",
IF(AND('1. Measure Selection'!$M$4=1,F4&gt;H4),"Goal Exceeded",
IF(AND('1. Measure Selection'!$M$4=2,F4&lt;H4),"Goal Not Met",
IF(AND('1. Measure Selection'!$M$4=2,F4=H4),"Goal Met",
IF(AND('1. Measure Selection'!$M$4=2,F4&gt;H4),"Goal Exceeded",
""))))))))))</f>
        <v/>
      </c>
      <c r="J4" s="100" t="str">
        <f t="shared" ref="J4" si="0">IF(B4="Structural","N/A",
IF(AND(ISBLANK(D4),ISBLANK(F4)),"",
IF(ISTEXT(H4),"N/A",
IF(AND(F4&gt;=H4,OR(D4&lt;&gt;"",D4="")),"N/A",
IF(AND(ISNUMBER(H4),F4&lt;&gt;"",D4=""),"N/A",
IF(AND(ISNUMBER(H4),F4&lt;H4,D4&lt;&gt;""),H4-D4,""))))))</f>
        <v/>
      </c>
      <c r="K4" s="100" t="str">
        <f t="shared" ref="K4:K23" si="1">IF(B4="Structural","N/A",
IF(AND(ISBLANK(D4),ISBLANK(F4)),"",
IF(J4="N/A","N/A",
IF(H4="TBD","TBD",
IF(AND(F4&lt;&gt;"",D4=""),"N/A",
J4/10)))))</f>
        <v/>
      </c>
      <c r="L4" s="100" t="str">
        <f t="shared" ref="L4" si="2">IF(B4="Structural","N/A",
IF(B4="","",
IF(AND(F4&lt;&gt;"",H4="TBD"),"TBD",
IF(AND(F4&gt;=H4,F4&lt;&gt;""),"N/A",
IF(ISBLANK(D4),"N/A",D4+K4)))))</f>
        <v/>
      </c>
      <c r="M4" s="119" t="str">
        <f t="shared" ref="M4" si="3">IF(B4="Structural","N/A",
IF(B4="","",
IF(AND(B4&lt;&gt;"Structural",O4=""),0,O4)))</f>
        <v/>
      </c>
      <c r="N4" s="101" t="str">
        <f>IF(H4="TBD","TBD",
IF(B4="","",
IF(AND(B4="eCQM",Q4=TRUE,F4&lt;H4,D4&lt;&gt;"",E4&gt;=20,G4&gt;=20,M4&gt;=0.1),R4,
IF(AND(B4="eCQM",Q4=TRUE,F4&gt;=H4,G4&gt;=20),R4,
IF(AND(B4="eCQM",Q4=TRUE,OR(F4&lt;&gt;"",D4&lt;&gt;""),OR(E4&gt;0,G4&gt;0),M4&lt;0.05),R4/2,
IF(AND(B4="eCQM",Q4=TRUE,G4&lt;&gt;"",OR(AND(E4&gt;=1,E4&lt;20),AND(G4&gt;=1,G4&lt;20))),R4/2,
IF(AND(B4="eCQM",Q4=TRUE,F4&lt;H4,D4&lt;&gt;"",E4&gt;=20,G4&gt;=20,M4&gt;=0.05,M4&lt;0.1),P4*R4,
IF(AND(B4="Administrative",Q4=TRUE,G4&gt;=30,F4&gt;=H4),R4,
IF(AND(B4="Administrative",Q4=TRUE,G4&gt;=30,D4&lt;&gt;"",F4&lt;H4,M4&gt;=0.1),R4,
IF(AND(B4="Administrative",Q4=TRUE,F4&lt;H4,D4&lt;&gt;"",G4&gt;=30,M4&lt;0.1),P4*R4,
IF(AND(B4="Administrative",Q4=TRUE,G4&lt;30),0,
IF(AND(B4="Structural",AND(Q4=TRUE,F4="Measure Met")),R4,0))))))))))))</f>
        <v/>
      </c>
      <c r="O4" s="149" t="str">
        <f t="shared" ref="O4:O35" si="4">IF(AND(ISBLANK(F4),ISBLANK(D4)),"",
IF(H4="TBD","TBD",
IF(OR(AND(ISBLANK(D4),F4&gt;=H4),AND(D4&lt;&gt;"",F4&gt;=H4)),"N/A",
IF(AND(D4&gt;F4,F4&lt;H4),0,
IF(AND(ISBLANK(D4),F4&lt;H4),0,
IF(AND(D4&lt;=F4,F4&lt;H4),(F4-D4)/(H4-D4),""))))))</f>
        <v/>
      </c>
      <c r="P4" s="150" t="str">
        <f>IF(ISNUMBER(M4*10),M4*10,"N/A")</f>
        <v>N/A</v>
      </c>
      <c r="Q4" s="20" t="str">
        <f>IF('1. Measure Selection'!$M$4=1,'1. Measure Selection'!L16,
IF('1. Measure Selection'!$M$4=2,'1. Measure Selection'!L16,""))</f>
        <v/>
      </c>
      <c r="R4" s="57" t="str">
        <f>IF(OR(C4=DataValTab!$F$60,C4=DataValTab!$F$61),17.5,
IF(OR(B4="Administrative",B4="eCQM"),35,
IF(B4="Structural",20,"ERROR")))</f>
        <v>ERROR</v>
      </c>
      <c r="S4" s="20" t="b">
        <f t="shared" ref="S4:S35" si="5">IF(ISBLANK(D4),FALSE,TRUE)</f>
        <v>0</v>
      </c>
      <c r="T4" s="20" t="b">
        <f t="shared" ref="T4:T35" si="6">IF(ISBLANK(F4),FALSE,TRUE)</f>
        <v>0</v>
      </c>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row>
    <row r="5" spans="1:45">
      <c r="B5" s="389" t="str">
        <f>IF('1. Measure Selection'!$M$4=1,DataValTab!E51,
IF('1. Measure Selection'!$M$4=2,DataValTab!K51,
""))</f>
        <v/>
      </c>
      <c r="C5" s="389" t="str">
        <f>IF('1. Measure Selection'!$M$4=1,DataValTab!$F51,
IF('1. Measure Selection'!$M$4=2,DataValTab!$L51,
""))</f>
        <v/>
      </c>
      <c r="D5" s="390"/>
      <c r="E5" s="391"/>
      <c r="F5" s="390"/>
      <c r="G5" s="391"/>
      <c r="H5" s="99" t="str">
        <f>IF('1. Measure Selection'!$M$4=1,VLOOKUP(B5&amp;C5,DataValTab!$C$49:$I$81,5,FALSE),
IF('1. Measure Selection'!$M$4=2,VLOOKUP(B5&amp;C5,DataValTab!$D$49:$M$81,10,FALSE),
""))</f>
        <v/>
      </c>
      <c r="I5" s="392" t="str">
        <f>IF(AND(Q5=TRUE,B5="Structural",F5="Measure Met"),"Goal Met",
IF(AND(Q5=FALSE,B5="Structural"),"",
IF(ISBLANK(F5),"",
IF(H5="TBD","TBD",
IF(AND('1. Measure Selection'!$M$4=1,F5&lt;H5),"Goal Not Met",
IF(AND('1. Measure Selection'!$M$4=1,F5=H5),"Goal Met",
IF(AND('1. Measure Selection'!$M$4=1,F5&gt;H5),"Goal Exceeded",
IF(AND('1. Measure Selection'!$M$4=2,F5&lt;H5),"Goal Not Met",
IF(AND('1. Measure Selection'!$M$4=2,F5=H5),"Goal Met",
IF(AND('1. Measure Selection'!$M$4=2,F5&gt;H5),"Goal Exceeded",
""))))))))))</f>
        <v/>
      </c>
      <c r="J5" s="393" t="str">
        <f t="shared" ref="J5:J23" si="7">IF(B5="Structural","N/A",
IF(AND(ISBLANK(D5),ISBLANK(F5)),"",
IF(ISTEXT(H5),"N/A",
IF(AND(F5&gt;=H5,OR(D5&lt;&gt;"",D5="")),"N/A",
IF(AND(ISNUMBER(H5),F5&lt;&gt;"",D5=""),"N/A",
IF(AND(ISNUMBER(H5),F5&lt;H5,D5&lt;&gt;""),H5-D5,""))))))</f>
        <v/>
      </c>
      <c r="K5" s="100" t="str">
        <f t="shared" si="1"/>
        <v/>
      </c>
      <c r="L5" s="393" t="str">
        <f t="shared" ref="L5:L22" si="8">IF(B5="Structural","N/A",
IF(B5="","",
IF(AND(F5&lt;&gt;"",H5="TBD"),"TBD",
IF(AND(F5&gt;=H5,F5&lt;&gt;""),"N/A",
IF(ISBLANK(D5),"N/A",D5+K5)))))</f>
        <v/>
      </c>
      <c r="M5" s="394" t="str">
        <f t="shared" ref="M5:M35" si="9">IF(B5="Structural","N/A",
IF(B5="","",
IF(AND(B5&lt;&gt;"Structural",O5=""),0,O5)))</f>
        <v/>
      </c>
      <c r="N5" s="101" t="str">
        <f>IF(H5="TBD","TBD",
IF(B5="","",
IF(AND(B5="eCQM",Q5=TRUE,F5&lt;H5,D5&lt;&gt;"",E5&gt;=20,G5&gt;=20,M5&gt;=0.1),R5,
IF(AND(B5="eCQM",Q5=TRUE,F5&gt;=H5,G5&gt;=20),R5,
IF(AND(B5="eCQM",Q5=TRUE,OR(F5&lt;&gt;"",D5&lt;&gt;""),OR(E5&gt;0,G5&gt;0),M5&lt;0.05),R5/2,
IF(AND(B5="eCQM",Q5=TRUE,G5&lt;&gt;"",OR(AND(E5&gt;=1,E5&lt;20),AND(G5&gt;=1,G5&lt;20))),R5/2,
IF(AND(B5="eCQM",Q5=TRUE,F5&lt;H5,D5&lt;&gt;"",E5&gt;=20,G5&gt;=20,M5&gt;=0.05,M5&lt;0.1),P5*R5,
IF(AND(B5="Administrative",Q5=TRUE,G5&gt;=30,F5&gt;=H5),R5,
IF(AND(B5="Administrative",Q5=TRUE,G5&gt;=30,D5&lt;&gt;"",F5&lt;H5,M5&gt;=0.1),R5,
IF(AND(B5="Administrative",Q5=TRUE,F5&lt;H5,D5&lt;&gt;"",G5&gt;=30,M5&lt;0.1),P5*R5,
IF(AND(B5="Administrative",Q5=TRUE,G5&lt;30),0,
IF(AND(B5="Structural",AND(Q5=TRUE,F5="Measure Met")),R5,0))))))))))))</f>
        <v/>
      </c>
      <c r="O5" s="149" t="str">
        <f t="shared" si="4"/>
        <v/>
      </c>
      <c r="P5" s="150" t="str">
        <f t="shared" ref="P5:P35" si="10">IF(ISNUMBER(M5*10),M5*10,"N/A")</f>
        <v>N/A</v>
      </c>
      <c r="Q5" s="20" t="str">
        <f>IF('1. Measure Selection'!$M$4=1,'1. Measure Selection'!L17,
IF('1. Measure Selection'!$M$4=2,'1. Measure Selection'!L17,""))</f>
        <v/>
      </c>
      <c r="R5" s="57" t="str">
        <f>IF(OR(C5=DataValTab!$F$60,C5=DataValTab!$F$61),17.5,
IF(OR(B5="Administrative",B5="eCQM"),35,
IF(B5="Structural",20,"ERROR")))</f>
        <v>ERROR</v>
      </c>
      <c r="S5" s="20" t="b">
        <f t="shared" si="5"/>
        <v>0</v>
      </c>
      <c r="T5" s="20" t="b">
        <f t="shared" si="6"/>
        <v>0</v>
      </c>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row>
    <row r="6" spans="1:45">
      <c r="B6" s="402" t="str">
        <f>IF('1. Measure Selection'!$M$4=1,DataValTab!E52,
IF('1. Measure Selection'!$M$4=2,DataValTab!K52,
""))</f>
        <v/>
      </c>
      <c r="C6" s="118" t="str">
        <f>IF('1. Measure Selection'!$M$4=1,DataValTab!$F52,
IF('1. Measure Selection'!$M$4=2,DataValTab!$L52,
""))</f>
        <v/>
      </c>
      <c r="D6" s="98"/>
      <c r="E6" s="280"/>
      <c r="F6" s="98"/>
      <c r="G6" s="280"/>
      <c r="H6" s="99" t="str">
        <f>IF('1. Measure Selection'!$M$4=1,VLOOKUP(B6&amp;C6,DataValTab!$C$49:$I$81,5,FALSE),
IF('1. Measure Selection'!$M$4=2,VLOOKUP(B6&amp;C6,DataValTab!$D$49:$M$81,10,FALSE),
""))</f>
        <v/>
      </c>
      <c r="I6" s="266" t="str">
        <f>IF(AND(Q6=TRUE,B6="Structural",F6="Measure Met"),"Goal Met",
IF(AND(Q6=FALSE,B6="Structural"),"",
IF(ISBLANK(F6),"",
IF(H6="TBD","TBD",
IF(AND('1. Measure Selection'!$M$4=1,F6&lt;H6),"Goal Exceeded",
IF(AND('1. Measure Selection'!$M$4=1,F6=H6),"Goal Met",
IF(AND('1. Measure Selection'!$M$4=1,F6&gt;H6),"Goal Not Met",
IF(AND('1. Measure Selection'!$M$4=2,F6&lt;H6),"Goal Not Met",
IF(AND('1. Measure Selection'!$M$4=2,F6=H6),"Goal Met",
IF(AND('1. Measure Selection'!$M$4=2,F6&gt;H6),"Goal Exceeded",
""))))))))))</f>
        <v/>
      </c>
      <c r="J6" s="100" t="str">
        <f>IF(B6="Structural","N/A",
IF(AND(ISBLANK(D6),ISBLANK(F6)),"",
IF(ISTEXT(H6),"N/A",
IF(AND('1. Measure Selection'!$M$4=1,F6&lt;&gt;"",D6=""),"N/A",
IF(AND('1. Measure Selection'!$M$4=1,OR(F6="",F6&gt;=H6),D6&lt;&gt;""),-(H6-D6),
IF(AND('1. Measure Selection'!$M$4=1,F6&lt;H6,OR(D6&lt;&gt;"",D6="")),"N/A",
IF(AND('1. Measure Selection'!$M$4=2,F6&lt;&gt;"",D6=""),"N/A",
IF(AND('1. Measure Selection'!$M$4=2,F6&lt;=H6,D6&lt;&gt;""),(H6-D6),
IF(AND('1. Measure Selection'!$M$4=2,F6&gt;H6,OR(D6&lt;&gt;"",D6="")),"N/A","")))))))))</f>
        <v/>
      </c>
      <c r="K6" s="100" t="str">
        <f>IF(B6="Structural","N/A",
IF(H6="TBD","TBD",
IF(J6="N/A","N/A",
IF(AND(ISBLANK(D6),ISBLANK(F6)),"",
IF(AND('1. Measure Selection'!$M$4=1,F6&lt;&gt;"",ISBLANK(D6)),"N/A",
IF(AND('1. Measure Selection'!$M$4=2,F6&lt;&gt;"",ISBLANK(D6)),"N/A",
IF(ISBLANK(D6),"",J6/10)))))))</f>
        <v/>
      </c>
      <c r="L6" s="100" t="str">
        <f>IF(B6="Structural","N/A",
IF(B6="","",
IF(AND(F6&lt;&gt;"",H6="TBD"),"TBD",
IF(AND('1. Measure Selection'!$M$4=1,F6&lt;=H6,F6&lt;&gt;""),"N/A",
IF(ISBLANK(D6),"N/A",
IF(K6="N/A","N/A",
IF('1. Measure Selection'!$M$4=1,D6-K6,D6+K6)))))))</f>
        <v/>
      </c>
      <c r="M6" s="119" t="str">
        <f t="shared" si="9"/>
        <v/>
      </c>
      <c r="N6" s="101" t="str">
        <f>IF(H6="TBD","TBD",
IF(B6="","",
IF(AND(B6="eCQM",Q6=TRUE,F6&gt;H6,D6&lt;&gt;"",E6&gt;=20,G6&gt;=20,M6&gt;=0.1),R6,
IF(AND(B6="eCQM",Q6=TRUE,F6&lt;=H6,F6&lt;&gt;"",G6&gt;=20),R6,
IF(AND(B6="eCQM",Q6=TRUE,F6&gt;H6,D6&lt;&gt;"",E6&gt;=20,G6&gt;=20,M6&gt;=0.04,M6&lt;0.1),P6*R6,
IF(AND(B6="eCQM",Q6=TRUE,OR(F6&lt;&gt;"",D6&lt;&gt;""),OR(E6&gt;0,G6&gt;0),M6&lt;0.04),R6/2,
IF(AND(B6="eCQM",Q6=TRUE,G6&lt;&gt;"",OR(AND(E6&gt;=1,E6&lt;20),AND(G6&gt;=1,G6&lt;20))),R6/2,
IF(AND(B6="Administrative",Q6=TRUE,G6&gt;=30,F6&gt;=H6),R6,
IF(AND(B6="Administrative",Q6=TRUE,G6&gt;=30,D6&lt;&gt;"",F6&lt;H6,M6&gt;=0.1),R6,
IF(AND(B6="Administrative",Q6=TRUE,F6&lt;H6,D6&lt;&gt;"",G6&gt;=30,M6&lt;0.1),P6*R6,
IF(AND(B6="Administrative",Q6=TRUE,G6&lt;30),0,
IF(AND(B6="Structural",AND(Q6=TRUE,F6="Measure Met")),R6,0))))))))))))</f>
        <v/>
      </c>
      <c r="O6" s="403" t="str">
        <f>IF(AND(ISBLANK(F6),ISBLANK(D6)),"",
IF(OR(AND('1. Measure Selection'!$M$4=1,ISBLANK(D3),F6&lt;=H6),AND('1. Measure Selection'!$M$4=1,D3&lt;&gt;"",F6&lt;=H6)),"N/A",
IF(AND('1. Measure Selection'!$M$4=1,D6&lt;F6,F6&gt;H6),0,
IF(AND('1. Measure Selection'!$M$4=1,D6&gt;=F6,F6&gt;H6),(F6-D6)/(H6-D6),
IF(AND('1. Measure Selection'!$M$4=2,F6&gt;=H6),"N/A",
IF(AND('1. Measure Selection'!$M$4=2,D6&gt;F6,F6&lt;H6),0,
IF(AND('1. Measure Selection'!$M$4=2,D6&lt;&gt;"",D6&lt;=F6,F6&lt;H6),(F6-D6)/(H6-D6),
"")))))))</f>
        <v/>
      </c>
      <c r="P6" s="150" t="str">
        <f t="shared" si="10"/>
        <v>N/A</v>
      </c>
      <c r="Q6" s="20" t="str">
        <f>IF('1. Measure Selection'!$M$4=1,'1. Measure Selection'!L18,
IF('1. Measure Selection'!$M$4=2,'1. Measure Selection'!L18,""))</f>
        <v/>
      </c>
      <c r="R6" s="57" t="str">
        <f>IF(OR(C6=DataValTab!$F$60,C6=DataValTab!$F$61),17.5,
IF(OR(B6="Administrative",B6="eCQM"),35,
IF(B6="Structural",20,"ERROR")))</f>
        <v>ERROR</v>
      </c>
      <c r="S6" s="20" t="b">
        <f t="shared" si="5"/>
        <v>0</v>
      </c>
      <c r="T6" s="20" t="b">
        <f t="shared" si="6"/>
        <v>0</v>
      </c>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row>
    <row r="7" spans="1:45">
      <c r="B7" s="402" t="str">
        <f>IF('1. Measure Selection'!$M$4=1,DataValTab!E53,
IF('1. Measure Selection'!$M$4=2,DataValTab!K53,
""))</f>
        <v/>
      </c>
      <c r="C7" s="118" t="str">
        <f>IF('1. Measure Selection'!$M$4=1,DataValTab!$F53,
IF('1. Measure Selection'!$M$4=2,DataValTab!$L53,
""))</f>
        <v/>
      </c>
      <c r="D7" s="98"/>
      <c r="E7" s="280"/>
      <c r="F7" s="98"/>
      <c r="G7" s="280"/>
      <c r="H7" s="99" t="str">
        <f>IF('1. Measure Selection'!$M$4=1,VLOOKUP(B7&amp;C7,DataValTab!$C$49:$I$81,5,FALSE),
IF('1. Measure Selection'!$M$4=2,VLOOKUP(B7&amp;C7,DataValTab!$D$49:$M$81,10,FALSE),
""))</f>
        <v/>
      </c>
      <c r="I7" s="266" t="str">
        <f>IF(AND(Q7=TRUE,B7="Structural",F7="Measure Met"),"Goal Met",
IF(AND(Q7=FALSE,B7="Structural"),"",
IF(ISBLANK(F7),"",
IF(H7="TBD","TBD",
IF(AND('1. Measure Selection'!$M$4=1,F7&lt;H7),"Goal Exceeded",
IF(AND('1. Measure Selection'!$M$4=1,F7=H7),"Goal Met",
IF(AND('1. Measure Selection'!$M$4=1,F7&gt;H7),"Goal Not Met",
IF(AND('1. Measure Selection'!$M$4=2,F7&lt;H7),"Goal Not Met",
IF(AND('1. Measure Selection'!$M$4=2,F7=H7),"Goal Met",
IF(AND('1. Measure Selection'!$M$4=2,F7&gt;H7),"Goal Exceeded",
""))))))))))</f>
        <v/>
      </c>
      <c r="J7" s="100" t="str">
        <f>IF(B7="Structural","N/A",
IF(AND(ISBLANK(D7),ISBLANK(F7)),"",
IF(ISTEXT(H7),"N/A",
IF(AND('1. Measure Selection'!$M$4=1,F7&lt;&gt;"",D7=""),"N/A",
IF(AND('1. Measure Selection'!$M$4=1,OR(F7="",F7&gt;=H7),D7&lt;&gt;""),-(H7-D7),
IF(AND('1. Measure Selection'!$M$4=1,F7&lt;H7,OR(D7&lt;&gt;"",D7="")),"N/A",
IF(AND('1. Measure Selection'!$M$4=2,F7&lt;&gt;"",D7=""),"N/A",
IF(AND('1. Measure Selection'!$M$4=2,F7&lt;=H7,D7&lt;&gt;""),(H7-D7),
IF(AND('1. Measure Selection'!$M$4=2,F7&gt;H7,OR(D7&lt;&gt;"",D7="")),"N/A","")))))))))</f>
        <v/>
      </c>
      <c r="K7" s="100" t="str">
        <f>IF(B7="Structural","N/A",
IF(H7="TBD","TBD",
IF(J7="N/A","N/A",
IF(AND(ISBLANK(D7),ISBLANK(F7)),"",
IF(AND('1. Measure Selection'!$M$4=1,F7&lt;&gt;"",ISBLANK(D7)),"N/A",
IF(AND('1. Measure Selection'!$M$4=2,F7&lt;&gt;"",ISBLANK(D7)),"N/A",
IF(ISBLANK(D7),"",J7/10)))))))</f>
        <v/>
      </c>
      <c r="L7" s="100" t="str">
        <f>IF(B7="Structural","N/A",
IF(B7="","",
IF(AND(F7&lt;&gt;"",H7="TBD"),"TBD",
IF(AND('1. Measure Selection'!$M$4=1,F7&lt;=H7,F7&lt;&gt;""),"N/A",
IF(ISBLANK(D7),"N/A",
IF(K7="N/A","N/A",
IF('1. Measure Selection'!$M$4=1,D7-K7,D7+K7)))))))</f>
        <v/>
      </c>
      <c r="M7" s="119" t="str">
        <f t="shared" si="9"/>
        <v/>
      </c>
      <c r="N7" s="101" t="str">
        <f>IF(H7="TBD","TBD",
IF(B7="","",
IF(AND(B7="eCQM",Q7=TRUE,F7&lt;H7,D7&lt;&gt;"",E7&gt;=20,G7&gt;=20,M7&gt;=0.1),R7,
IF(AND(B7="eCQM",Q7=TRUE,F7&gt;=H7,G7&gt;=20),R7,
IF(AND(B7="eCQM",Q7=TRUE,F7&lt;H7,D7&lt;&gt;"",E7&gt;=20,G7&gt;=20,M7&gt;=0.05,M7&lt;0.1),P7*R7,
IF(AND(B7="eCQM",Q7=TRUE,OR(F7&lt;&gt;"",D7&lt;&gt;""),OR(E7&gt;0,G7&gt;0),M7&lt;0.05),R7/2,
IF(AND(B7="eCQM",Q7=TRUE,G7&lt;&gt;"",OR(AND(E7&gt;=1,E7&lt;20),AND(G7&gt;=1,G7&lt;20))),R7/2,
IF(AND('1. Measure Selection'!M4=2,B7="Administrative",Q7=TRUE,G7&gt;=30,F7&gt;=H7),R7,
IF(AND('1. Measure Selection'!M4=2,B7="Administrative",Q7=TRUE,G7&gt;=30,D7&lt;&gt;"",F7&lt;H7,M7&gt;=0.1),R7,
IF(AND('1. Measure Selection'!M4=2,B7="Administrative",Q7=TRUE,F7&lt;H7,D7&lt;&gt;"",G7&gt;=30,M7&lt;0.1),P7*R7,
IF(AND('1. Measure Selection'!M4=2,B7="Administrative",Q7=TRUE,G7&lt;30),0,
IF(AND('1. Measure Selection'!M4=1,B7="Administrative",Q7=TRUE,G7&gt;=30,F7&lt;=H7),R7,
IF(AND('1. Measure Selection'!M4=1,B7="Administrative",Q7=TRUE,G7&gt;=30,D7&lt;&gt;"",F7&gt;H7,M7&gt;=0.1),R7,
IF(AND('1. Measure Selection'!M4=1,B7="Administrative",Q7=TRUE,F7&gt;H7,D7&lt;&gt;"",G7&gt;=30,M7&lt;0.1),P7*R7,
IF(AND('1. Measure Selection'!M4=1,B7="Administrative",Q7=TRUE,G7&lt;30),0,
IF(AND(B7="Structural",AND(Q7=TRUE,F7="Measure Met")),R7,0))))))))))))))))</f>
        <v/>
      </c>
      <c r="O7" s="403" t="str">
        <f>IF(AND(ISBLANK(F7),ISBLANK(D7)),"",
IF(OR(AND('1. Measure Selection'!$M$4=1,ISBLANK(D4),F7&lt;=H7),AND('1. Measure Selection'!$M$4=1,D4&lt;&gt;"",F7&lt;=H7)),"N/A",
IF(AND('1. Measure Selection'!$M$4=1,D7&lt;F7,F7&gt;H7),0,
IF(AND('1. Measure Selection'!$M$4=1,D7&gt;=F7,F7&gt;H7),(F7-D7)/(H7-D7),
IF(AND('1. Measure Selection'!$M$4=2,F7&gt;=H7),"N/A",
IF(AND('1. Measure Selection'!$M$4=2,D7&gt;F7,F7&lt;H7),0,
IF(AND('1. Measure Selection'!$M$4=2,D7&lt;&gt;"",D7&lt;=F7,F7&lt;H7),(F7-D7)/(H7-D7),
"")))))))</f>
        <v/>
      </c>
      <c r="P7" s="150" t="str">
        <f t="shared" si="10"/>
        <v>N/A</v>
      </c>
      <c r="Q7" s="20" t="str">
        <f>IF('1. Measure Selection'!$M$4=1,'1. Measure Selection'!L19,
IF('1. Measure Selection'!$M$4=2,'1. Measure Selection'!L19,""))</f>
        <v/>
      </c>
      <c r="R7" s="57" t="str">
        <f>IF(OR(C7=DataValTab!$F$60,C7=DataValTab!$F$61),17.5,
IF(OR(B7="Administrative",B7="eCQM"),35,
IF(B7="Structural",20,"ERROR")))</f>
        <v>ERROR</v>
      </c>
      <c r="S7" s="20" t="b">
        <f t="shared" si="5"/>
        <v>0</v>
      </c>
      <c r="T7" s="20" t="b">
        <f t="shared" si="6"/>
        <v>0</v>
      </c>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row>
    <row r="8" spans="1:45">
      <c r="B8" s="395" t="str">
        <f>IF('1. Measure Selection'!$M$4=1,DataValTab!E54,
IF('1. Measure Selection'!$M$4=2,DataValTab!K54,
""))</f>
        <v/>
      </c>
      <c r="C8" s="395" t="str">
        <f>IF('1. Measure Selection'!$M$4=1,DataValTab!$F54,
IF('1. Measure Selection'!$M$4=2,DataValTab!$L54,
""))</f>
        <v/>
      </c>
      <c r="D8" s="396"/>
      <c r="E8" s="397"/>
      <c r="F8" s="396"/>
      <c r="G8" s="397"/>
      <c r="H8" s="99" t="str">
        <f>IF('1. Measure Selection'!$M$4=1,VLOOKUP(B8&amp;C8,DataValTab!$C$49:$I$81,5,FALSE),
IF('1. Measure Selection'!$M$4=2,VLOOKUP(B8&amp;C8,DataValTab!$D$49:$M$81,10,FALSE),
""))</f>
        <v/>
      </c>
      <c r="I8" s="398" t="str">
        <f>IF(AND(Q8=TRUE,B8="Structural",F8="Measure Met"),"Goal Met",
IF(AND(Q8=FALSE,B8="Structural"),"",
IF(ISBLANK(F8),"",
IF(H8="TBD","TBD",
IF(AND('1. Measure Selection'!$M$4=1,F8&lt;H8),"Goal Not Met",
IF(AND('1. Measure Selection'!$M$4=1,F8=H8),"Goal Met",
IF(AND('1. Measure Selection'!$M$4=1,F8&gt;H8),"Goal Exceeded",
IF(AND('1. Measure Selection'!$M$4=2,F8&lt;H8),"Goal Not Met",
IF(AND('1. Measure Selection'!$M$4=2,F8=H8),"Goal Met",
IF(AND('1. Measure Selection'!$M$4=2,F8&gt;H8),"Goal Exceeded",
""))))))))))</f>
        <v/>
      </c>
      <c r="J8" s="399" t="str">
        <f t="shared" si="7"/>
        <v/>
      </c>
      <c r="K8" s="399" t="str">
        <f t="shared" si="1"/>
        <v/>
      </c>
      <c r="L8" s="399" t="str">
        <f t="shared" si="8"/>
        <v/>
      </c>
      <c r="M8" s="400" t="str">
        <f t="shared" si="9"/>
        <v/>
      </c>
      <c r="N8" s="101" t="str">
        <f>IF(H8="TBD","TBD",
IF(B8="","",
IF(AND(B8="eCQM",Q8=TRUE,F8&lt;H8,D8&lt;&gt;"",E8&gt;=20,G8&gt;=20,M8&gt;=0.1),R8,
IF(AND(B8="eCQM",Q8=TRUE,F8&gt;=H8,G8&gt;=20),R8,
IF(AND(B8="eCQM",Q8=TRUE,OR(F8&lt;&gt;"",D8&lt;&gt;""),OR(E8&gt;0,G8&gt;0),M8&lt;0.05),R8/2,
IF(AND(B8="eCQM",Q8=TRUE,G8&lt;&gt;"",OR(AND(E8&gt;=1,E8&lt;20),AND(G8&gt;=1,G8&lt;20))),R8/2,
IF(AND(B8="eCQM",Q8=TRUE,F8&lt;H8,D8&lt;&gt;"",E8&gt;=20,G8&gt;=20,M8&gt;=0.05,M8&lt;0.1),P8*R8,
IF(AND(B8="Administrative",Q8=TRUE,G8&gt;=30,F8&gt;=H8),R8,
IF(AND(B8="Administrative",Q8=TRUE,G8&gt;=30,D8&lt;&gt;"",F8&lt;H8,M8&gt;=0.1),R8,
IF(AND(B8="Administrative",Q8=TRUE,F8&lt;H8,D8&lt;&gt;"",G8&gt;=30,M8&lt;0.1),P8*R8,
IF(AND(B8="Administrative",Q8=TRUE,G8&lt;30),0,
IF(AND(B8="Structural",AND(Q8=TRUE,F8="Measure Met")),R8,0))))))))))))</f>
        <v/>
      </c>
      <c r="O8" s="149" t="str">
        <f t="shared" si="4"/>
        <v/>
      </c>
      <c r="P8" s="150" t="str">
        <f t="shared" si="10"/>
        <v>N/A</v>
      </c>
      <c r="Q8" s="20" t="str">
        <f>IF('1. Measure Selection'!$M$4=1,'1. Measure Selection'!L20,
IF('1. Measure Selection'!$M$4=2,'1. Measure Selection'!L20,""))</f>
        <v/>
      </c>
      <c r="R8" s="57" t="str">
        <f>IF(OR(C8=DataValTab!$F$60,C8=DataValTab!$F$61),17.5,
IF(OR(B8="Administrative",B8="eCQM"),35,
IF(B8="Structural",20,"ERROR")))</f>
        <v>ERROR</v>
      </c>
      <c r="S8" s="20" t="b">
        <f t="shared" si="5"/>
        <v>0</v>
      </c>
      <c r="T8" s="20" t="b">
        <f t="shared" si="6"/>
        <v>0</v>
      </c>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row>
    <row r="9" spans="1:45">
      <c r="B9" s="118" t="str">
        <f>IF('1. Measure Selection'!$M$4=1,DataValTab!E55,
IF('1. Measure Selection'!$M$4=2,DataValTab!K55,
""))</f>
        <v/>
      </c>
      <c r="C9" s="118" t="str">
        <f>IF('1. Measure Selection'!$M$4=1,DataValTab!$F55,
IF('1. Measure Selection'!$M$4=2,DataValTab!$L55,
""))</f>
        <v/>
      </c>
      <c r="D9" s="98"/>
      <c r="E9" s="280"/>
      <c r="F9" s="98"/>
      <c r="G9" s="280"/>
      <c r="H9" s="99" t="str">
        <f>IF('1. Measure Selection'!$M$4=1,VLOOKUP(B9&amp;C9,DataValTab!$C$49:$I$81,5,FALSE),
IF('1. Measure Selection'!$M$4=2,VLOOKUP(B9&amp;C9,DataValTab!$D$49:$M$81,10,FALSE),
""))</f>
        <v/>
      </c>
      <c r="I9" s="266" t="str">
        <f>IF(AND(Q9=TRUE,B9="Structural",F9="Measure Met"),"Goal Met",
IF(AND(Q9=FALSE,B9="Structural"),"",
IF(ISBLANK(F9),"",
IF(H9="TBD","TBD",
IF(AND('1. Measure Selection'!$M$4=1,F9&lt;H9),"Goal Not Met",
IF(AND('1. Measure Selection'!$M$4=1,F9=H9),"Goal Met",
IF(AND('1. Measure Selection'!$M$4=1,F9&gt;H9),"Goal Exceeded",
IF(AND('1. Measure Selection'!$M$4=2,F9&lt;H9),"Goal Not Met",
IF(AND('1. Measure Selection'!$M$4=2,F9=H9),"Goal Met",
IF(AND('1. Measure Selection'!$M$4=2,F9&gt;H9),"Goal Exceeded",
""))))))))))</f>
        <v/>
      </c>
      <c r="J9" s="100" t="str">
        <f t="shared" si="7"/>
        <v/>
      </c>
      <c r="K9" s="100" t="str">
        <f t="shared" si="1"/>
        <v/>
      </c>
      <c r="L9" s="100" t="str">
        <f t="shared" si="8"/>
        <v/>
      </c>
      <c r="M9" s="119" t="str">
        <f t="shared" si="9"/>
        <v/>
      </c>
      <c r="N9" s="101" t="str">
        <f t="shared" ref="N9:N13" si="11">IF(H9="TBD","TBD",
IF(B9="","",
IF(AND(B9="eCQM",Q9=TRUE,F9&lt;H9,D9&lt;&gt;"",E9&gt;=20,G9&gt;=20,M9&gt;=0.1),R9,
IF(AND(B9="eCQM",Q9=TRUE,F9&gt;=H9,G9&gt;=20),R9,
IF(AND(B9="eCQM",Q9=TRUE,OR(F9&lt;&gt;"",D9&lt;&gt;""),OR(E9&gt;0,G9&gt;0),M9&lt;0.05),R9/2,
IF(AND(B9="eCQM",Q9=TRUE,G9&lt;&gt;"",OR(AND(E9&gt;=1,E9&lt;20),AND(G9&gt;=1,G9&lt;20))),R9/2,
IF(AND(B9="eCQM",Q9=TRUE,F9&lt;H9,D9&lt;&gt;"",E9&gt;=20,G9&gt;=20,M9&gt;=0.05,M9&lt;0.1),P9*R9,
IF(AND(B9="Administrative",Q9=TRUE,G9&gt;=30,F9&gt;=H9),R9,
IF(AND(B9="Administrative",Q9=TRUE,G9&gt;=30,D9&lt;&gt;"",F9&lt;H9,M9&gt;=0.1),R9,
IF(AND(B9="Administrative",Q9=TRUE,F9&lt;H9,D9&lt;&gt;"",G9&gt;=30,M9&lt;0.1),P9*R9,
IF(AND(B9="Administrative",Q9=TRUE,G9&lt;30),0,
IF(AND(B9="Structural",AND(Q9=TRUE,F9="Measure Met")),R9,0))))))))))))</f>
        <v/>
      </c>
      <c r="O9" s="149" t="str">
        <f t="shared" si="4"/>
        <v/>
      </c>
      <c r="P9" s="150" t="str">
        <f t="shared" si="10"/>
        <v>N/A</v>
      </c>
      <c r="Q9" s="20" t="str">
        <f>IF('1. Measure Selection'!$M$4=1,'1. Measure Selection'!L21,
IF('1. Measure Selection'!$M$4=2,'1. Measure Selection'!L20,""))</f>
        <v/>
      </c>
      <c r="R9" s="57" t="str">
        <f>IF(OR(C9=DataValTab!$F$60,C9=DataValTab!$F$61),17.5,
IF(OR(B9="Administrative",B9="eCQM"),35,
IF(B9="Structural",20,"ERROR")))</f>
        <v>ERROR</v>
      </c>
      <c r="S9" s="20" t="b">
        <f t="shared" si="5"/>
        <v>0</v>
      </c>
      <c r="T9" s="20" t="b">
        <f t="shared" si="6"/>
        <v>0</v>
      </c>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row>
    <row r="10" spans="1:45">
      <c r="B10" s="118" t="str">
        <f>IF('1. Measure Selection'!$M$4=1,DataValTab!E56,
IF('1. Measure Selection'!$M$4=2,DataValTab!K56,
""))</f>
        <v/>
      </c>
      <c r="C10" s="118" t="str">
        <f>IF('1. Measure Selection'!$M$4=1,DataValTab!$F56,
IF('1. Measure Selection'!$M$4=2,DataValTab!$L56,
""))</f>
        <v/>
      </c>
      <c r="D10" s="98"/>
      <c r="E10" s="280"/>
      <c r="F10" s="98"/>
      <c r="G10" s="280"/>
      <c r="H10" s="99" t="str">
        <f>IF('1. Measure Selection'!$M$4=1,VLOOKUP(B10&amp;C10,DataValTab!$C$49:$I$81,5,FALSE),
IF('1. Measure Selection'!$M$4=2,VLOOKUP(B10&amp;C10,DataValTab!$D$49:$M$81,10,FALSE),
""))</f>
        <v/>
      </c>
      <c r="I10" s="266" t="str">
        <f>IF(AND(Q10=TRUE,B10="Structural",F10="Measure Met"),"Goal Met",
IF(AND(Q10=FALSE,B10="Structural"),"",
IF(ISBLANK(F10),"",
IF(H10="TBD","TBD",
IF(AND('1. Measure Selection'!$M$4=1,F10&lt;H10),"Goal Not Met",
IF(AND('1. Measure Selection'!$M$4=1,F10=H10),"Goal Met",
IF(AND('1. Measure Selection'!$M$4=1,F10&gt;H10),"Goal Exceeded",
IF(AND('1. Measure Selection'!$M$4=2,F10&lt;H10),"Goal Not Met",
IF(AND('1. Measure Selection'!$M$4=2,F10=H10),"Goal Met",
IF(AND('1. Measure Selection'!$M$4=2,F10&gt;H10),"Goal Exceeded",
""))))))))))</f>
        <v/>
      </c>
      <c r="J10" s="100" t="str">
        <f t="shared" si="7"/>
        <v/>
      </c>
      <c r="K10" s="100" t="str">
        <f t="shared" si="1"/>
        <v/>
      </c>
      <c r="L10" s="100" t="str">
        <f t="shared" si="8"/>
        <v/>
      </c>
      <c r="M10" s="119" t="str">
        <f t="shared" si="9"/>
        <v/>
      </c>
      <c r="N10" s="101" t="str">
        <f t="shared" si="11"/>
        <v/>
      </c>
      <c r="O10" s="149" t="str">
        <f t="shared" si="4"/>
        <v/>
      </c>
      <c r="P10" s="150" t="str">
        <f t="shared" si="10"/>
        <v>N/A</v>
      </c>
      <c r="Q10" s="20" t="str">
        <f>IF('1. Measure Selection'!$M$4=1,'1. Measure Selection'!L25,
IF('1. Measure Selection'!$M$4=2,'1. Measure Selection'!L21,""))</f>
        <v/>
      </c>
      <c r="R10" s="57" t="str">
        <f>IF(OR(C10=DataValTab!$F$60,C10=DataValTab!$F$61),17.5,
IF(OR(B10="Administrative",B10="eCQM"),35,
IF(B10="Structural",20,"ERROR")))</f>
        <v>ERROR</v>
      </c>
      <c r="S10" s="20" t="b">
        <f t="shared" si="5"/>
        <v>0</v>
      </c>
      <c r="T10" s="20" t="b">
        <f t="shared" si="6"/>
        <v>0</v>
      </c>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row>
    <row r="11" spans="1:45">
      <c r="B11" s="118" t="str">
        <f>IF('1. Measure Selection'!$M$4=1,DataValTab!E57,
IF('1. Measure Selection'!$M$4=2,DataValTab!K57,
""))</f>
        <v/>
      </c>
      <c r="C11" s="118" t="str">
        <f>IF('1. Measure Selection'!$M$4=1,DataValTab!$F57,
IF('1. Measure Selection'!$M$4=2,DataValTab!$L57,
""))</f>
        <v/>
      </c>
      <c r="D11" s="98"/>
      <c r="E11" s="280"/>
      <c r="F11" s="98"/>
      <c r="G11" s="280"/>
      <c r="H11" s="99" t="str">
        <f>IF('1. Measure Selection'!$M$4=1,VLOOKUP(B11&amp;C11,DataValTab!$C$49:$I$81,5,FALSE),
IF('1. Measure Selection'!$M$4=2,VLOOKUP(B11&amp;C11,DataValTab!$D$49:$M$81,10,FALSE),
""))</f>
        <v/>
      </c>
      <c r="I11" s="266" t="str">
        <f>IF(AND(Q11=TRUE,B11="Structural",F11="Measure Met"),"Goal Met",
IF(AND(Q11=FALSE,B11="Structural"),"",
IF(ISBLANK(F11),"",
IF(H11="TBD","TBD",
IF(AND('1. Measure Selection'!$M$4=1,F11&lt;H11),"Goal Not Met",
IF(AND('1. Measure Selection'!$M$4=1,F11=H11),"Goal Met",
IF(AND('1. Measure Selection'!$M$4=1,F11&gt;H11),"Goal Exceeded",
IF(AND('1. Measure Selection'!$M$4=2,F11&lt;H11),"Goal Not Met",
IF(AND('1. Measure Selection'!$M$4=2,F11=H11),"Goal Met",
IF(AND('1. Measure Selection'!$M$4=2,F11&gt;H11),"Goal Exceeded",
""))))))))))</f>
        <v/>
      </c>
      <c r="J11" s="100" t="str">
        <f t="shared" si="7"/>
        <v/>
      </c>
      <c r="K11" s="100" t="str">
        <f t="shared" si="1"/>
        <v/>
      </c>
      <c r="L11" s="100" t="str">
        <f t="shared" si="8"/>
        <v/>
      </c>
      <c r="M11" s="119" t="str">
        <f t="shared" si="9"/>
        <v/>
      </c>
      <c r="N11" s="101" t="str">
        <f t="shared" si="11"/>
        <v/>
      </c>
      <c r="O11" s="149" t="str">
        <f t="shared" si="4"/>
        <v/>
      </c>
      <c r="P11" s="150" t="str">
        <f t="shared" si="10"/>
        <v>N/A</v>
      </c>
      <c r="Q11" s="20" t="str">
        <f>IF('1. Measure Selection'!$M$4=1,'1. Measure Selection'!L26,
IF('1. Measure Selection'!$M$4=2,'1. Measure Selection'!L22,""))</f>
        <v/>
      </c>
      <c r="R11" s="57" t="str">
        <f>IF(OR(C11=DataValTab!$F$60,C11=DataValTab!$F$61),17.5,
IF(OR(B11="Administrative",B11="eCQM"),35,
IF(B11="Structural",20,"ERROR")))</f>
        <v>ERROR</v>
      </c>
      <c r="S11" s="20" t="b">
        <f t="shared" si="5"/>
        <v>0</v>
      </c>
      <c r="T11" s="20" t="b">
        <f t="shared" si="6"/>
        <v>0</v>
      </c>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row>
    <row r="12" spans="1:45">
      <c r="B12" s="118" t="str">
        <f>IF('1. Measure Selection'!$M$4=1,DataValTab!E58,
IF('1. Measure Selection'!$M$4=2,DataValTab!K58,
""))</f>
        <v/>
      </c>
      <c r="C12" s="118" t="str">
        <f>IF('1. Measure Selection'!$M$4=1,DataValTab!$F58,
IF('1. Measure Selection'!$M$4=2,DataValTab!$L58,
""))</f>
        <v/>
      </c>
      <c r="D12" s="98"/>
      <c r="E12" s="280"/>
      <c r="F12" s="98"/>
      <c r="G12" s="280"/>
      <c r="H12" s="99" t="str">
        <f>IF('1. Measure Selection'!$M$4=1,VLOOKUP(B12&amp;C12,DataValTab!$C$49:$I$81,5,FALSE),
IF('1. Measure Selection'!$M$4=2,VLOOKUP(B12&amp;C12,DataValTab!$D$49:$M$81,10,FALSE),
""))</f>
        <v/>
      </c>
      <c r="I12" s="266" t="str">
        <f>IF(AND(Q12=TRUE,B12="Structural",F12="Measure Met"),"Goal Met",
IF(AND(Q12=FALSE,B12="Structural"),"",
IF(ISBLANK(F12),"",
IF(H12="TBD","TBD",
IF(AND('1. Measure Selection'!$M$4=1,F12&lt;H12),"Goal Not Met",
IF(AND('1. Measure Selection'!$M$4=1,F12=H12),"Goal Met",
IF(AND('1. Measure Selection'!$M$4=1,F12&gt;H12),"Goal Exceeded",
IF(AND('1. Measure Selection'!$M$4=2,F12&lt;H12),"Goal Not Met",
IF(AND('1. Measure Selection'!$M$4=2,F12=H12),"Goal Met",
IF(AND('1. Measure Selection'!$M$4=2,F12&gt;H12),"Goal Exceeded",
""))))))))))</f>
        <v/>
      </c>
      <c r="J12" s="100" t="str">
        <f t="shared" si="7"/>
        <v/>
      </c>
      <c r="K12" s="100" t="str">
        <f t="shared" si="1"/>
        <v/>
      </c>
      <c r="L12" s="100" t="str">
        <f t="shared" si="8"/>
        <v/>
      </c>
      <c r="M12" s="119" t="str">
        <f t="shared" si="9"/>
        <v/>
      </c>
      <c r="N12" s="101" t="str">
        <f t="shared" si="11"/>
        <v/>
      </c>
      <c r="O12" s="149" t="str">
        <f t="shared" si="4"/>
        <v/>
      </c>
      <c r="P12" s="150" t="str">
        <f t="shared" si="10"/>
        <v>N/A</v>
      </c>
      <c r="Q12" s="20" t="str">
        <f>IF('1. Measure Selection'!$M$4=1,'1. Measure Selection'!L27,
IF('1. Measure Selection'!$M$4=2,'1. Measure Selection'!L25,""))</f>
        <v/>
      </c>
      <c r="R12" s="57" t="str">
        <f>IF(OR(C12=DataValTab!$F$60,C12=DataValTab!$F$61),17.5,
IF(OR(B12="Administrative",B12="eCQM"),35,
IF(B12="Structural",20,"ERROR")))</f>
        <v>ERROR</v>
      </c>
      <c r="S12" s="20" t="b">
        <f t="shared" si="5"/>
        <v>0</v>
      </c>
      <c r="T12" s="20" t="b">
        <f t="shared" si="6"/>
        <v>0</v>
      </c>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row>
    <row r="13" spans="1:45">
      <c r="B13" s="389" t="str">
        <f>IF('1. Measure Selection'!$M$4=1,DataValTab!E59,
IF('1. Measure Selection'!$M$4=2,DataValTab!K59,
""))</f>
        <v/>
      </c>
      <c r="C13" s="389" t="str">
        <f>IF('1. Measure Selection'!$M$4=1,DataValTab!$F59,
IF('1. Measure Selection'!$M$4=2,DataValTab!$L59,
""))</f>
        <v/>
      </c>
      <c r="D13" s="390"/>
      <c r="E13" s="391"/>
      <c r="F13" s="390"/>
      <c r="G13" s="391"/>
      <c r="H13" s="99" t="str">
        <f>IF('1. Measure Selection'!$M$4=1,VLOOKUP(B13&amp;C13,DataValTab!$C$49:$I$81,5,FALSE),
IF('1. Measure Selection'!$M$4=2,VLOOKUP(B13&amp;C13,DataValTab!$D$49:$M$81,10,FALSE),
""))</f>
        <v/>
      </c>
      <c r="I13" s="392" t="str">
        <f>IF(AND(Q13=TRUE,B13="Structural",F13="Measure Met"),"Goal Met",
IF(AND(Q13=FALSE,B13="Structural"),"",
IF(ISBLANK(F13),"",
IF(H13="TBD","TBD",
IF(AND('1. Measure Selection'!$M$4=1,F13&lt;H13),"Goal Not Met",
IF(AND('1. Measure Selection'!$M$4=1,F13=H13),"Goal Met",
IF(AND('1. Measure Selection'!$M$4=1,F13&gt;H13),"Goal Exceeded",
IF(AND('1. Measure Selection'!$M$4=2,F13&lt;H13),"Goal Not Met",
IF(AND('1. Measure Selection'!$M$4=2,F13=H13),"Goal Met",
IF(AND('1. Measure Selection'!$M$4=2,F13&gt;H13),"Goal Exceeded",
""))))))))))</f>
        <v/>
      </c>
      <c r="J13" s="393" t="str">
        <f t="shared" si="7"/>
        <v/>
      </c>
      <c r="K13" s="393" t="str">
        <f t="shared" si="1"/>
        <v/>
      </c>
      <c r="L13" s="393" t="str">
        <f t="shared" si="8"/>
        <v/>
      </c>
      <c r="M13" s="394" t="str">
        <f t="shared" si="9"/>
        <v/>
      </c>
      <c r="N13" s="101" t="str">
        <f t="shared" si="11"/>
        <v/>
      </c>
      <c r="O13" s="149" t="str">
        <f t="shared" si="4"/>
        <v/>
      </c>
      <c r="P13" s="150" t="str">
        <f t="shared" si="10"/>
        <v>N/A</v>
      </c>
      <c r="Q13" s="20" t="str">
        <f>IF('1. Measure Selection'!$M$4=1,'1. Measure Selection'!L28,
IF('1. Measure Selection'!$M$4=2,'1. Measure Selection'!L26,""))</f>
        <v/>
      </c>
      <c r="R13" s="57" t="str">
        <f>IF(OR(C13=DataValTab!$F$60,C13=DataValTab!$F$61),17.5,
IF(OR(B13="Administrative",B13="eCQM"),35,
IF(B13="Structural",20,"ERROR")))</f>
        <v>ERROR</v>
      </c>
      <c r="S13" s="20" t="b">
        <f t="shared" si="5"/>
        <v>0</v>
      </c>
      <c r="T13" s="20" t="b">
        <f t="shared" si="6"/>
        <v>0</v>
      </c>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row>
    <row r="14" spans="1:45">
      <c r="B14" s="118" t="str">
        <f>IF('1. Measure Selection'!$M$4=1,DataValTab!E60,
IF('1. Measure Selection'!$M$4=2,DataValTab!K60,
""))</f>
        <v/>
      </c>
      <c r="C14" s="118" t="str">
        <f>IF('1. Measure Selection'!$M$4=1,DataValTab!$F60,
IF('1. Measure Selection'!$M$4=2,DataValTab!$L60,
""))</f>
        <v/>
      </c>
      <c r="D14" s="98"/>
      <c r="E14" s="280"/>
      <c r="F14" s="98"/>
      <c r="G14" s="280"/>
      <c r="H14" s="99" t="str">
        <f>IF('1. Measure Selection'!$M$4=1,VLOOKUP(B14&amp;C14,DataValTab!$C$49:$I$81,5,FALSE),
IF('1. Measure Selection'!$M$4=2,VLOOKUP(B14&amp;C14,DataValTab!$D$49:$M$81,10,FALSE),
""))</f>
        <v/>
      </c>
      <c r="I14" s="266" t="str">
        <f>IF(AND(Q14=TRUE,B14="Structural",F14="Measure Met"),"Goal Met",
IF(AND(Q14=FALSE,B14="Structural"),"",
IF(ISBLANK(F14),"",
IF(H14="TBD","TBD",
IF(AND('1. Measure Selection'!$M$4=1,F14&lt;H14),"Goal Not Met",
IF(AND('1. Measure Selection'!$M$4=1,F14=H14),"Goal Met",
IF(AND('1. Measure Selection'!$M$4=1,F14&gt;H14),"Goal Exceeded",
IF(AND('1. Measure Selection'!$M$4=2,F14&lt;H14),"Goal Exceeded",
IF(AND('1. Measure Selection'!$M$4=2,F14=H14),"Goal Met",
IF(AND('1. Measure Selection'!$M$4=2,F14&gt;H14),"Goal Not Met",
""))))))))))</f>
        <v/>
      </c>
      <c r="J14" s="100" t="str">
        <f>IF(B14="Structural","N/A",
IF(AND(ISBLANK(D14),ISBLANK(F14)),"",
IF(ISTEXT(H14),"N/A",
IF(AND('1. Measure Selection'!$M$4=2,F14&lt;&gt;"",D14=""),"N/A",
IF(AND('1. Measure Selection'!$M$4=2,OR(F14="",F14&gt;=H14),D14&lt;&gt;""),-(H14-D14),
IF(AND('1. Measure Selection'!$M$4=2,F14&lt;H14,OR(D14&lt;&gt;"",D14="")),"N/A",
IF(AND('1. Measure Selection'!$M$4=1,F14&lt;&gt;"",D14=""),"N/A",
IF(AND('1. Measure Selection'!$M$4=1,F14&lt;=H14,D14&lt;&gt;""),(H14-D14),
IF(AND('1. Measure Selection'!$M$4=1,F14&gt;H14,OR(D14&lt;&gt;"",D14="")),"N/A","")))))))))</f>
        <v/>
      </c>
      <c r="K14" s="100" t="str">
        <f>IF(B14="Structural","N/A",
IF(H14="TBD","TBD",
IF(J14="N/A","N/A",
IF(AND(ISBLANK(D14),ISBLANK(F14)),"",
IF(AND('1. Measure Selection'!$M$4=1,F14&lt;&gt;"",ISBLANK(D14)),"N/A",
IF(AND('1. Measure Selection'!$M$4=2,F14&lt;&gt;"",ISBLANK(D14)),"N/A",
IF(ISBLANK(D14),"",J14/10)))))))</f>
        <v/>
      </c>
      <c r="L14" s="100" t="str">
        <f>IF(B14="Structural","N/A",
IF(B14="","",
IF(AND(F14&lt;&gt;"",H14="TBD"),"TBD",
IF(AND('1. Measure Selection'!$M$4=2,F14&lt;=H14,F14&lt;&gt;""),"N/A",
IF(ISBLANK(D14),"N/A",
IF(K14="N/A","N/A",
IF('1. Measure Selection'!$M$4=2,D14-K14,D14+K14)))))))</f>
        <v/>
      </c>
      <c r="M14" s="119" t="str">
        <f t="shared" si="9"/>
        <v/>
      </c>
      <c r="N14" s="101" t="str">
        <f>IF(H14="TBD","TBD",
IF(B14="","",
IF(AND(B14="eCQM",Q14=TRUE,F14&lt;H14,D14&lt;&gt;"",E14&gt;=20,G14&gt;=20,M14&gt;=0.1),R14,
IF(AND(B14="eCQM",Q14=TRUE,F14&gt;=H14,G14&gt;=20),R14,
IF(AND(B14="eCQM",Q14=TRUE,F14&lt;H14,D14&lt;&gt;"",E14&gt;=20,G14&gt;=20,M14&gt;=0.05,M14&lt;0.1),P14*R14,
IF(AND(B14="eCQM",Q14=TRUE,OR(F14&lt;&gt;"",D14&lt;&gt;""),OR(E14&gt;0,G14&gt;0),M14&lt;0.05),R14/2,
IF(AND(B14="eCQM",Q14=TRUE,G14&lt;&gt;"",OR(AND(E14&gt;=1,E14&lt;20),AND(G14&gt;=1,G14&lt;20))),R14/2,
IF(AND(B14="Administrative",Q14=TRUE,G14&gt;=30,F14&gt;=H14),R14,
IF(AND(B14="Administrative",Q14=TRUE,G14&gt;=30,D14&lt;&gt;"",F14&lt;H14,M14&gt;=0.1),R14,
IF(AND(B14="Administrative",Q14=TRUE,F14&lt;H14,D14&lt;&gt;"",G14&gt;=30,M14&lt;0.1),P14*R14,
IF(AND(B14="Administrative",Q14=TRUE,G14&lt;30),0,
IF(AND(B14="Structural",AND(Q14=TRUE,F14="Measure Met")),R14,0))))))))))))</f>
        <v/>
      </c>
      <c r="O14" s="403" t="str">
        <f>IF(AND(ISBLANK(F14),ISBLANK(D14)),"",
IF(OR(AND('1. Measure Selection'!$M$4=2,ISBLANK(D11),F14&lt;=H14),AND('1. Measure Selection'!$M$4=2,D11&lt;&gt;"",F14&lt;=H14)),"N/A",
IF(AND('1. Measure Selection'!$M$4=2,D14&lt;F14,F14&gt;H14),0,
IF(AND('1. Measure Selection'!$M$4=2,D14&gt;=F14,F14&gt;H14),(F14-D14)/(H14-D14),
IF(AND('1. Measure Selection'!$M$4=1,F14&gt;=H14),"N/A",
IF(AND('1. Measure Selection'!$M$4=1,D14&gt;F14,F14&lt;H14),0,
IF(AND('1. Measure Selection'!$M$4=1,D14&lt;&gt;"",D14&lt;=F14,F14&lt;H14),(F14-D14)/(H14-D14),
"")))))))</f>
        <v/>
      </c>
      <c r="P14" s="150" t="str">
        <f t="shared" si="10"/>
        <v>N/A</v>
      </c>
      <c r="Q14" s="20" t="str">
        <f>IF('1. Measure Selection'!$M$4=1,'1. Measure Selection'!L29,
IF('1. Measure Selection'!$M$4=2,'1. Measure Selection'!L27,""))</f>
        <v/>
      </c>
      <c r="R14" s="57" t="str">
        <f>IF(OR(C14=DataValTab!$F$60,C14=DataValTab!$F$61),17.5,
IF(OR(B14="Administrative",B14="eCQM"),35,
IF(B14="Structural",20,"ERROR")))</f>
        <v>ERROR</v>
      </c>
      <c r="S14" s="20" t="b">
        <f t="shared" si="5"/>
        <v>0</v>
      </c>
      <c r="T14" s="20" t="b">
        <f t="shared" si="6"/>
        <v>0</v>
      </c>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row>
    <row r="15" spans="1:45">
      <c r="B15" s="118" t="str">
        <f>IF('1. Measure Selection'!$M$4=1,DataValTab!E61,
IF('1. Measure Selection'!$M$4=2,DataValTab!K61,
""))</f>
        <v/>
      </c>
      <c r="C15" s="118" t="str">
        <f>IF('1. Measure Selection'!$M$4=1,DataValTab!$F61,
IF('1. Measure Selection'!$M$4=2,DataValTab!$L61,
""))</f>
        <v/>
      </c>
      <c r="D15" s="98"/>
      <c r="E15" s="280"/>
      <c r="F15" s="98"/>
      <c r="G15" s="280"/>
      <c r="H15" s="99" t="str">
        <f>IF('1. Measure Selection'!$M$4=1,VLOOKUP(B15&amp;C15,DataValTab!$C$49:$I$81,5,FALSE),
IF('1. Measure Selection'!$M$4=2,VLOOKUP(B15&amp;C15,DataValTab!$D$49:$M$81,10,FALSE),
""))</f>
        <v/>
      </c>
      <c r="I15" s="266" t="str">
        <f>IF(AND(Q15=TRUE,B15="Structural",F15="Measure Met"),"Goal Met",
IF(AND(Q15=FALSE,B15="Structural"),"",
IF(ISBLANK(F15),"",
IF(H15="TBD","TBD",
IF(AND('1. Measure Selection'!$M$4=1,F15&lt;H15),"Goal Not Met",
IF(AND('1. Measure Selection'!$M$4=1,F15=H15),"Goal Met",
IF(AND('1. Measure Selection'!$M$4=1,F15&gt;H15),"Goal Exceeded",
IF(AND('1. Measure Selection'!$M$4=2,F15&lt;H15),"Goal Exceeded",
IF(AND('1. Measure Selection'!$M$4=2,F15=H15),"Goal Met",
IF(AND('1. Measure Selection'!$M$4=2,F15&gt;H15),"Goal Not Met",
""))))))))))</f>
        <v/>
      </c>
      <c r="J15" s="100" t="str">
        <f>IF(B15="Structural","N/A",
IF(AND(ISBLANK(D15),ISBLANK(F15)),"",
IF(ISTEXT(H15),"N/A",
IF(AND('1. Measure Selection'!$M$4=2,F15&lt;&gt;"",D15=""),"N/A",
IF(AND('1. Measure Selection'!$M$4=2,OR(F15="",F15&gt;=H15),D15&lt;&gt;""),-(H15-D15),
IF(AND('1. Measure Selection'!$M$4=2,F15&lt;H15,OR(D15&lt;&gt;"",D15="")),"N/A",
IF(AND('1. Measure Selection'!$M$4=1,F15&lt;&gt;"",D15=""),"N/A",
IF(AND('1. Measure Selection'!$M$4=1,F15&lt;=H15,D15&lt;&gt;""),(H15-D15),
IF(AND('1. Measure Selection'!$M$4=1,F15&gt;H15,OR(D15&lt;&gt;"",D15="")),"N/A","")))))))))</f>
        <v/>
      </c>
      <c r="K15" s="100" t="str">
        <f>IF(B15="Structural","N/A",
IF(H15="TBD","TBD",
IF(J15="N/A","N/A",
IF(AND(ISBLANK(D15),ISBLANK(F15)),"",
IF(AND('1. Measure Selection'!$M$4=1,F15&lt;&gt;"",ISBLANK(D15)),"N/A",
IF(AND('1. Measure Selection'!$M$4=2,F15&lt;&gt;"",ISBLANK(D15)),"N/A",
IF(ISBLANK(D15),"",J15/10)))))))</f>
        <v/>
      </c>
      <c r="L15" s="100" t="str">
        <f>IF(B15="Structural","N/A",
IF(B15="","",
IF(AND(F15&lt;&gt;"",H15="TBD"),"TBD",
IF(AND('1. Measure Selection'!$M$4=2,F15&lt;=H15,F15&lt;&gt;""),"N/A",
IF(ISBLANK(D15),"N/A",
IF(K15="N/A","N/A",
IF('1. Measure Selection'!$M$4=2,D15-K15,D15+K15)))))))</f>
        <v/>
      </c>
      <c r="M15" s="119" t="str">
        <f t="shared" si="9"/>
        <v/>
      </c>
      <c r="N15" s="101" t="str">
        <f>IF(H15="TBD","TBD",
IF(B15="","",
IF(AND(B15="eCQM",Q15=TRUE,F15&lt;H15,D15&lt;&gt;"",E15&gt;=20,G15&gt;=20,M15&gt;=0.1),R15,
IF(AND(B15="eCQM",Q15=TRUE,F15&gt;=H15,G15&gt;=20),R15,
IF(AND(B15="eCQM",Q15=TRUE,F15&lt;H15,D15&lt;&gt;"",E15&gt;=20,G15&gt;=20,M15&gt;=0.05,M15&lt;0.1),P15*R15,
IF(AND(B15="eCQM",Q15=TRUE,OR(F15&lt;&gt;"",D15&lt;&gt;""),OR(E15&gt;0,G15&gt;0),M15&lt;0.05),R15/2,
IF(AND(B15="eCQM",Q15=TRUE,G15&lt;&gt;"",OR(AND(E15&gt;=1,E15&lt;20),AND(G15&gt;=1,G15&lt;20))),R15/2,
IF(AND('1. Measure Selection'!M4=1,B15="Administrative",Q15=TRUE,G15&gt;=30,F15&gt;=H15),R15,
IF(AND('1. Measure Selection'!M4=1,B15="Administrative",Q15=TRUE,G15&gt;=30,D15&lt;&gt;"",F15&lt;H15,M15&gt;=0.1),R15,
IF(AND('1. Measure Selection'!M4=1,B15="Administrative",Q15=TRUE,F15&lt;H15,D15&lt;&gt;"",G15&gt;=30,M15&lt;0.1),P15*R15,
IF(AND('1. Measure Selection'!M4=1,B15="Administrative",Q15=TRUE,G15&lt;30),0,
IF(AND('1. Measure Selection'!M4=2,B15="Administrative",Q15=TRUE,G15&gt;=30,F15&lt;=H15),R15,
IF(AND('1. Measure Selection'!M4=2,B15="Administrative",Q15=TRUE,G15&gt;=30,D15&lt;&gt;"",F15&gt;H15,M15&gt;=0.1),R15,
IF(AND('1. Measure Selection'!M4=2,B15="Administrative",Q15=TRUE,F15&gt;H15,D15&lt;&gt;"",G15&gt;=30,M15&lt;0.1),P15*R15,
IF(AND('1. Measure Selection'!M4=2,B15="Administrative",Q15=TRUE,G15&lt;30),0,
IF(AND(B15="Structural",AND(Q15=TRUE,F15="Measure Met")),R15,0))))))))))))))))</f>
        <v/>
      </c>
      <c r="O15" s="403" t="str">
        <f>IF(AND(ISBLANK(F15),ISBLANK(D15)),"",
IF(OR(AND('1. Measure Selection'!$M$4=2,ISBLANK(D15),F15&lt;=H15),AND('1. Measure Selection'!$M$4=2,D15&lt;&gt;"",F15&lt;=H15)),"N/A",
IF(AND('1. Measure Selection'!$M$4=2,D15&lt;F15,F15&gt;H15),0,
IF(AND('1. Measure Selection'!$M$4=2,D15&gt;=F15,F15&gt;H15),(F15-D15)/(H15-D15),
IF(AND('1. Measure Selection'!$M$4=1,F15&gt;=H15),"N/A",
IF(AND('1. Measure Selection'!$M$4=1,D15&gt;F15,F15&lt;H15),0,
IF(AND('1. Measure Selection'!$M$4=1,D15&lt;&gt;"",D15&lt;=F15,F15&lt;H15),(F15-D15)/(H15-D15),
"")))))))</f>
        <v/>
      </c>
      <c r="P15" s="150" t="str">
        <f t="shared" si="10"/>
        <v>N/A</v>
      </c>
      <c r="Q15" s="20" t="str">
        <f>IF('1. Measure Selection'!$M$4=1,'1. Measure Selection'!L29,
IF('1. Measure Selection'!$M$4=2,'1. Measure Selection'!L28,""))</f>
        <v/>
      </c>
      <c r="R15" s="57" t="str">
        <f>IF(OR(C15=DataValTab!$F$60,C15=DataValTab!$F$61),17.5,
IF(OR(B15="Administrative",B15="eCQM"),35,
IF(B15="Structural",20,"ERROR")))</f>
        <v>ERROR</v>
      </c>
      <c r="S15" s="20" t="b">
        <f t="shared" si="5"/>
        <v>0</v>
      </c>
      <c r="T15" s="20" t="b">
        <f t="shared" si="6"/>
        <v>0</v>
      </c>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row>
    <row r="16" spans="1:45">
      <c r="B16" s="395" t="str">
        <f>IF('1. Measure Selection'!$M$4=1,DataValTab!E62,
IF('1. Measure Selection'!$M$4=2,DataValTab!K62,
""))</f>
        <v/>
      </c>
      <c r="C16" s="395" t="str">
        <f>IF('1. Measure Selection'!$M$4=1,DataValTab!$F62,
IF('1. Measure Selection'!$M$4=2,DataValTab!$L62,
""))</f>
        <v/>
      </c>
      <c r="D16" s="396"/>
      <c r="E16" s="397"/>
      <c r="F16" s="396"/>
      <c r="G16" s="397"/>
      <c r="H16" s="99" t="str">
        <f>IF('1. Measure Selection'!$M$4=1,VLOOKUP(B16&amp;C16,DataValTab!$C$49:$I$81,5,FALSE),
IF('1. Measure Selection'!$M$4=2,VLOOKUP(B16&amp;C16,DataValTab!$D$49:$M$81,10,FALSE),
""))</f>
        <v/>
      </c>
      <c r="I16" s="398" t="str">
        <f>IF(AND(Q16=TRUE,B16="Structural",F16="Measure Met"),"Goal Met",
IF(AND(Q16=FALSE,B16="Structural"),"",
IF(ISBLANK(F16),"",
IF(H16="TBD","TBD",
IF(AND('1. Measure Selection'!$M$4=1,F16&lt;H16),"Goal Not Met",
IF(AND('1. Measure Selection'!$M$4=1,F16=H16),"Goal Met",
IF(AND('1. Measure Selection'!$M$4=1,F16&gt;H16),"Goal Exceeded",
IF(AND('1. Measure Selection'!$M$4=2,F16&lt;H16),"Goal Not Met",
IF(AND('1. Measure Selection'!$M$4=2,F16=H16),"Goal Met",
IF(AND('1. Measure Selection'!$M$4=2,F16&gt;H16),"Goal Exceeded",
""))))))))))</f>
        <v/>
      </c>
      <c r="J16" s="399" t="str">
        <f t="shared" si="7"/>
        <v/>
      </c>
      <c r="K16" s="399" t="str">
        <f t="shared" si="1"/>
        <v/>
      </c>
      <c r="L16" s="399" t="str">
        <f t="shared" si="8"/>
        <v/>
      </c>
      <c r="M16" s="400" t="str">
        <f t="shared" si="9"/>
        <v/>
      </c>
      <c r="N16" s="101" t="str">
        <f>IF(H16="TBD","TBD",
IF(B16="","",
IF(AND(B16="eCQM",Q16=TRUE,F16&lt;H16,D16&lt;&gt;"",E16&gt;=20,G16&gt;=20,M16&gt;=0.1),R16,
IF(AND(B16="eCQM",Q16=TRUE,F16&gt;=H16,G16&gt;=20),R16,
IF(AND(B16="eCQM",Q16=TRUE,OR(F16&lt;&gt;"",D16&lt;&gt;""),OR(E16&gt;0,G16&gt;0),M16&lt;0.05),R16/2,
IF(AND(B16="eCQM",Q16=TRUE,G16&lt;&gt;"",OR(AND(E16&gt;=1,E16&lt;20),AND(G16&gt;=1,G16&lt;20))),R16/2,
IF(AND(B16="eCQM",Q16=TRUE,F16&lt;H16,D16&lt;&gt;"",E16&gt;=20,G16&gt;=20,M16&gt;=0.05,M16&lt;0.1),P16*R16,
IF(AND(B16="Administrative",Q16=TRUE,G16&gt;=30,F16&gt;=H16),R16,
IF(AND(B16="Administrative",Q16=TRUE,G16&gt;=30,D16&lt;&gt;"",F16&lt;H16,M16&gt;=0.1),R16,
IF(AND(B16="Administrative",Q16=TRUE,F16&lt;H16,D16&lt;&gt;"",G16&gt;=30,M16&lt;0.1),P16*R16,
IF(AND(B16="Administrative",Q16=TRUE,G16&lt;30),0,
IF(AND(B16="Structural",AND(Q16=TRUE,F16="Measure Met")),R16,0))))))))))))</f>
        <v/>
      </c>
      <c r="O16" s="149" t="str">
        <f t="shared" si="4"/>
        <v/>
      </c>
      <c r="P16" s="150" t="str">
        <f t="shared" si="10"/>
        <v>N/A</v>
      </c>
      <c r="Q16" s="20" t="str">
        <f>IF('1. Measure Selection'!$M$4=1,'1. Measure Selection'!L30,
IF('1. Measure Selection'!$M$4=2,'1. Measure Selection'!L29,""))</f>
        <v/>
      </c>
      <c r="R16" s="57" t="str">
        <f>IF(OR(C16=DataValTab!$F$60,C16=DataValTab!$F$61),17.5,
IF(OR(B16="Administrative",B16="eCQM"),35,
IF(B16="Structural",20,"ERROR")))</f>
        <v>ERROR</v>
      </c>
      <c r="S16" s="20" t="b">
        <f t="shared" si="5"/>
        <v>0</v>
      </c>
      <c r="T16" s="20" t="b">
        <f t="shared" si="6"/>
        <v>0</v>
      </c>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row>
    <row r="17" spans="2:45">
      <c r="B17" s="118" t="str">
        <f>IF('1. Measure Selection'!$M$4=1,DataValTab!E63,
IF('1. Measure Selection'!$M$4=2,DataValTab!K63,
""))</f>
        <v/>
      </c>
      <c r="C17" s="118" t="str">
        <f>IF('1. Measure Selection'!$M$4=1,DataValTab!$F63,
IF('1. Measure Selection'!$M$4=2,DataValTab!$L63,
""))</f>
        <v/>
      </c>
      <c r="D17" s="98"/>
      <c r="E17" s="280"/>
      <c r="F17" s="98"/>
      <c r="G17" s="280"/>
      <c r="H17" s="99" t="str">
        <f>IF('1. Measure Selection'!$M$4=1,VLOOKUP(B17&amp;C17,DataValTab!$C$49:$I$81,5,FALSE),
IF('1. Measure Selection'!$M$4=2,VLOOKUP(B17&amp;C17,DataValTab!$D$49:$M$81,10,FALSE),
""))</f>
        <v/>
      </c>
      <c r="I17" s="266" t="str">
        <f>IF(AND(Q17=TRUE,B17="Structural",F17="Measure Met"),"Goal Met",
IF(AND(Q17=FALSE,B17="Structural"),"",
IF(ISBLANK(F17),"",
IF(H17="TBD","TBD",
IF(AND('1. Measure Selection'!$M$4=1,F17&lt;H17),"Goal Not Met",
IF(AND('1. Measure Selection'!$M$4=1,F17=H17),"Goal Met",
IF(AND('1. Measure Selection'!$M$4=1,F17&gt;H17),"Goal Exceeded",
IF(AND('1. Measure Selection'!$M$4=2,F17&lt;H17),"Goal Not Met",
IF(AND('1. Measure Selection'!$M$4=2,F17=H17),"Goal Met",
IF(AND('1. Measure Selection'!$M$4=2,F17&gt;H17),"Goal Exceeded",
""))))))))))</f>
        <v/>
      </c>
      <c r="J17" s="100" t="str">
        <f t="shared" si="7"/>
        <v/>
      </c>
      <c r="K17" s="100" t="str">
        <f t="shared" si="1"/>
        <v/>
      </c>
      <c r="L17" s="100" t="str">
        <f t="shared" si="8"/>
        <v/>
      </c>
      <c r="M17" s="119" t="str">
        <f t="shared" si="9"/>
        <v/>
      </c>
      <c r="N17" s="101" t="str">
        <f t="shared" ref="N17:N35" si="12">IF(H17="TBD","TBD",
IF(B17="","",
IF(AND(B17="eCQM",Q17=TRUE,F17&lt;H17,D17&lt;&gt;"",E17&gt;=20,G17&gt;=20,M17&gt;=0.1),R17,
IF(AND(B17="eCQM",Q17=TRUE,F17&gt;=H17,G17&gt;=20),R17,
IF(AND(B17="eCQM",Q17=TRUE,OR(F17&lt;&gt;"",D17&lt;&gt;""),OR(E17&gt;0,G17&gt;0),M17&lt;0.05),R17/2,
IF(AND(B17="eCQM",Q17=TRUE,G17&lt;&gt;"",OR(AND(E17&gt;=1,E17&lt;20),AND(G17&gt;=1,G17&lt;20))),R17/2,
IF(AND(B17="eCQM",Q17=TRUE,F17&lt;H17,D17&lt;&gt;"",E17&gt;=20,G17&gt;=20,M17&gt;=0.05,M17&lt;0.1),P17*R17,
IF(AND(B17="Administrative",Q17=TRUE,G17&gt;=30,F17&gt;=H17),R17,
IF(AND(B17="Administrative",Q17=TRUE,G17&gt;=30,D17&lt;&gt;"",F17&lt;H17,M17&gt;=0.1),R17,
IF(AND(B17="Administrative",Q17=TRUE,F17&lt;H17,D17&lt;&gt;"",G17&gt;=30,M17&lt;0.1),P17*R17,
IF(AND(B17="Administrative",Q17=TRUE,G17&lt;30),0,
IF(AND(B17="Structural",AND(Q17=TRUE,F17="Measure Met")),R17,0))))))))))))</f>
        <v/>
      </c>
      <c r="O17" s="149" t="str">
        <f t="shared" si="4"/>
        <v/>
      </c>
      <c r="P17" s="150" t="str">
        <f t="shared" si="10"/>
        <v>N/A</v>
      </c>
      <c r="Q17" s="20" t="str">
        <f>IF('1. Measure Selection'!$M$4=1,'1. Measure Selection'!L31,
IF('1. Measure Selection'!$M$4=2,'1. Measure Selection'!L30,""))</f>
        <v/>
      </c>
      <c r="R17" s="57" t="str">
        <f>IF(OR(C17=DataValTab!$F$60,C17=DataValTab!$F$61),17.5,
IF(OR(B17="Administrative",B17="eCQM"),35,
IF(B17="Structural",20,"ERROR")))</f>
        <v>ERROR</v>
      </c>
      <c r="S17" s="20" t="b">
        <f t="shared" si="5"/>
        <v>0</v>
      </c>
      <c r="T17" s="20" t="b">
        <f t="shared" si="6"/>
        <v>0</v>
      </c>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row>
    <row r="18" spans="2:45">
      <c r="B18" s="118" t="str">
        <f>IF('1. Measure Selection'!$M$4=1,DataValTab!E64,
IF('1. Measure Selection'!$M$4=2,DataValTab!K64,
""))</f>
        <v/>
      </c>
      <c r="C18" s="118" t="str">
        <f>IF('1. Measure Selection'!$M$4=1,DataValTab!$F64,
IF('1. Measure Selection'!$M$4=2,DataValTab!$L64,
""))</f>
        <v/>
      </c>
      <c r="D18" s="98"/>
      <c r="E18" s="280"/>
      <c r="F18" s="98"/>
      <c r="G18" s="280"/>
      <c r="H18" s="99" t="str">
        <f>IF('1. Measure Selection'!$M$4=1,VLOOKUP(B18&amp;C18,DataValTab!$C$49:$I$81,5,FALSE),
IF('1. Measure Selection'!$M$4=2,VLOOKUP(B18&amp;C18,DataValTab!$D$49:$M$81,10,FALSE),
""))</f>
        <v/>
      </c>
      <c r="I18" s="266" t="str">
        <f>IF(AND(Q18=TRUE,B18="Structural",F18="Measure Met"),"Goal Met",
IF(AND(Q18=FALSE,B18="Structural"),"",
IF(ISBLANK(F18),"",
IF(H18="TBD","TBD",
IF(AND('1. Measure Selection'!$M$4=1,F18&lt;H18),"Goal Not Met",
IF(AND('1. Measure Selection'!$M$4=1,F18=H18),"Goal Met",
IF(AND('1. Measure Selection'!$M$4=1,F18&gt;H18),"Goal Exceeded",
IF(AND('1. Measure Selection'!$M$4=2,F18&lt;H18),"Goal Not Met",
IF(AND('1. Measure Selection'!$M$4=2,F18=H18),"Goal Met",
IF(AND('1. Measure Selection'!$M$4=2,F18&gt;H18),"Goal Exceeded",
""))))))))))</f>
        <v/>
      </c>
      <c r="J18" s="100" t="str">
        <f t="shared" si="7"/>
        <v/>
      </c>
      <c r="K18" s="100" t="str">
        <f t="shared" si="1"/>
        <v/>
      </c>
      <c r="L18" s="100" t="str">
        <f t="shared" si="8"/>
        <v/>
      </c>
      <c r="M18" s="119" t="str">
        <f t="shared" si="9"/>
        <v/>
      </c>
      <c r="N18" s="101" t="str">
        <f t="shared" si="12"/>
        <v/>
      </c>
      <c r="O18" s="149" t="str">
        <f t="shared" si="4"/>
        <v/>
      </c>
      <c r="P18" s="150" t="str">
        <f t="shared" si="10"/>
        <v>N/A</v>
      </c>
      <c r="Q18" s="20" t="str">
        <f>IF('1. Measure Selection'!$M$4=1,'1. Measure Selection'!L34,
IF('1. Measure Selection'!$M$4=2,'1. Measure Selection'!L34,""))</f>
        <v/>
      </c>
      <c r="R18" s="57" t="str">
        <f>IF(OR(C18=DataValTab!$F$60,C18=DataValTab!$F$61),17.5,
IF(OR(B18="Administrative",B18="eCQM"),35,
IF(B18="Structural",20,"ERROR")))</f>
        <v>ERROR</v>
      </c>
      <c r="S18" s="20" t="b">
        <f t="shared" si="5"/>
        <v>0</v>
      </c>
      <c r="T18" s="20" t="b">
        <f t="shared" si="6"/>
        <v>0</v>
      </c>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row>
    <row r="19" spans="2:45">
      <c r="B19" s="118" t="str">
        <f>IF('1. Measure Selection'!$M$4=1,DataValTab!E65,
IF('1. Measure Selection'!$M$4=2,DataValTab!K65,
""))</f>
        <v/>
      </c>
      <c r="C19" s="118" t="str">
        <f>IF('1. Measure Selection'!$M$4=1,DataValTab!$F65,
IF('1. Measure Selection'!$M$4=2,DataValTab!$L65,
""))</f>
        <v/>
      </c>
      <c r="D19" s="98"/>
      <c r="E19" s="280"/>
      <c r="F19" s="98"/>
      <c r="G19" s="280"/>
      <c r="H19" s="99" t="str">
        <f>IF('1. Measure Selection'!$M$4=1,VLOOKUP(B19&amp;C19,DataValTab!$C$49:$I$81,5,FALSE),
IF('1. Measure Selection'!$M$4=2,VLOOKUP(B19&amp;C19,DataValTab!$D$49:$M$81,10,FALSE),
""))</f>
        <v/>
      </c>
      <c r="I19" s="266" t="str">
        <f>IF(AND(Q19=TRUE,B19="Structural",F19="Measure Met"),"Goal Met",
IF(AND(Q19=FALSE,B19="Structural"),"",
IF(ISBLANK(F19),"",
IF(H19="TBD","TBD",
IF(AND('1. Measure Selection'!$M$4=1,F19&lt;H19),"Goal Not Met",
IF(AND('1. Measure Selection'!$M$4=1,F19=H19),"Goal Met",
IF(AND('1. Measure Selection'!$M$4=1,F19&gt;H19),"Goal Exceeded",
IF(AND('1. Measure Selection'!$M$4=2,F19&lt;H19),"Goal Not Met",
IF(AND('1. Measure Selection'!$M$4=2,F19=H19),"Goal Met",
IF(AND('1. Measure Selection'!$M$4=2,F19&gt;H19),"Goal Exceeded",
""))))))))))</f>
        <v/>
      </c>
      <c r="J19" s="100" t="str">
        <f t="shared" si="7"/>
        <v/>
      </c>
      <c r="K19" s="100" t="str">
        <f t="shared" si="1"/>
        <v/>
      </c>
      <c r="L19" s="100" t="str">
        <f t="shared" si="8"/>
        <v/>
      </c>
      <c r="M19" s="119" t="str">
        <f t="shared" si="9"/>
        <v/>
      </c>
      <c r="N19" s="101" t="str">
        <f t="shared" si="12"/>
        <v/>
      </c>
      <c r="O19" s="149" t="str">
        <f t="shared" si="4"/>
        <v/>
      </c>
      <c r="P19" s="150" t="str">
        <f t="shared" si="10"/>
        <v>N/A</v>
      </c>
      <c r="Q19" s="20" t="str">
        <f>IF('1. Measure Selection'!$M$4=1,'1. Measure Selection'!L35,
IF('1. Measure Selection'!$M$4=2,'1. Measure Selection'!L35,""))</f>
        <v/>
      </c>
      <c r="R19" s="57" t="str">
        <f>IF(OR(C19=DataValTab!$F$60,C19=DataValTab!$F$61),17.5,
IF(OR(B19="Administrative",B19="eCQM"),35,
IF(B19="Structural",20,"ERROR")))</f>
        <v>ERROR</v>
      </c>
      <c r="S19" s="20" t="b">
        <f t="shared" si="5"/>
        <v>0</v>
      </c>
      <c r="T19" s="20" t="b">
        <f t="shared" si="6"/>
        <v>0</v>
      </c>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row>
    <row r="20" spans="2:45">
      <c r="B20" s="118" t="str">
        <f>IF('1. Measure Selection'!$M$4=1,DataValTab!E66,
IF('1. Measure Selection'!$M$4=2,DataValTab!K66,
""))</f>
        <v/>
      </c>
      <c r="C20" s="118" t="str">
        <f>IF('1. Measure Selection'!$M$4=1,DataValTab!$F66,
IF('1. Measure Selection'!$M$4=2,DataValTab!$L66,
""))</f>
        <v/>
      </c>
      <c r="D20" s="98"/>
      <c r="E20" s="280"/>
      <c r="F20" s="98"/>
      <c r="G20" s="280"/>
      <c r="H20" s="99" t="str">
        <f>IF('1. Measure Selection'!$M$4=1,VLOOKUP(B20&amp;C20,DataValTab!$C$49:$I$81,5,FALSE),
IF('1. Measure Selection'!$M$4=2,VLOOKUP(B20&amp;C20,DataValTab!$D$49:$M$81,10,FALSE),
""))</f>
        <v/>
      </c>
      <c r="I20" s="266" t="str">
        <f>IF(AND(Q20=TRUE,B20="Structural",F20="Measure Met"),"Goal Met",
IF(AND(Q20=FALSE,B20="Structural"),"",
IF(ISBLANK(F20),"",
IF(H20="TBD","TBD",
IF(AND('1. Measure Selection'!$M$4=1,F20&lt;H20),"Goal Not Met",
IF(AND('1. Measure Selection'!$M$4=1,F20=H20),"Goal Met",
IF(AND('1. Measure Selection'!$M$4=1,F20&gt;H20),"Goal Exceeded",
IF(AND('1. Measure Selection'!$M$4=2,F20&lt;H20),"Goal Not Met",
IF(AND('1. Measure Selection'!$M$4=2,F20=H20),"Goal Met",
IF(AND('1. Measure Selection'!$M$4=2,F20&gt;H20),"Goal Exceeded",
""))))))))))</f>
        <v/>
      </c>
      <c r="J20" s="100" t="str">
        <f t="shared" si="7"/>
        <v/>
      </c>
      <c r="K20" s="100" t="str">
        <f t="shared" si="1"/>
        <v/>
      </c>
      <c r="L20" s="100" t="str">
        <f t="shared" si="8"/>
        <v/>
      </c>
      <c r="M20" s="119" t="str">
        <f t="shared" si="9"/>
        <v/>
      </c>
      <c r="N20" s="101" t="str">
        <f t="shared" si="12"/>
        <v/>
      </c>
      <c r="O20" s="149" t="str">
        <f t="shared" si="4"/>
        <v/>
      </c>
      <c r="P20" s="150" t="str">
        <f t="shared" si="10"/>
        <v>N/A</v>
      </c>
      <c r="Q20" s="20" t="str">
        <f>IF('1. Measure Selection'!$M$4=1,'1. Measure Selection'!L36,
IF('1. Measure Selection'!$M$4=2,'1. Measure Selection'!L36,""))</f>
        <v/>
      </c>
      <c r="R20" s="57" t="str">
        <f>IF(OR(C20=DataValTab!$F$60,C20=DataValTab!$F$61),17.5,
IF(OR(B20="Administrative",B20="eCQM"),35,
IF(B20="Structural",20,"ERROR")))</f>
        <v>ERROR</v>
      </c>
      <c r="S20" s="20" t="b">
        <f t="shared" si="5"/>
        <v>0</v>
      </c>
      <c r="T20" s="20" t="b">
        <f t="shared" si="6"/>
        <v>0</v>
      </c>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row>
    <row r="21" spans="2:45">
      <c r="B21" s="118" t="str">
        <f>IF('1. Measure Selection'!$M$4=1,DataValTab!E67,
IF('1. Measure Selection'!$M$4=2,DataValTab!K67,
""))</f>
        <v/>
      </c>
      <c r="C21" s="118" t="str">
        <f>IF('1. Measure Selection'!$M$4=1,DataValTab!$F67,
IF('1. Measure Selection'!$M$4=2,DataValTab!$L67,
""))</f>
        <v/>
      </c>
      <c r="D21" s="98"/>
      <c r="E21" s="280"/>
      <c r="F21" s="98"/>
      <c r="G21" s="280"/>
      <c r="H21" s="99" t="str">
        <f>IF('1. Measure Selection'!$M$4=1,VLOOKUP(B21&amp;C21,DataValTab!$C$49:$I$81,5,FALSE),
IF('1. Measure Selection'!$M$4=2,VLOOKUP(B21&amp;C21,DataValTab!$D$49:$M$81,10,FALSE),
""))</f>
        <v/>
      </c>
      <c r="I21" s="266" t="str">
        <f>IF(AND(Q21=TRUE,B21="Structural",F21="Measure Met"),"Goal Met",
IF(AND(Q21=FALSE,B21="Structural"),"",
IF(ISBLANK(F21),"",
IF(H21="TBD","TBD",
IF(AND('1. Measure Selection'!$M$4=1,F21&lt;H21),"Goal Not Met",
IF(AND('1. Measure Selection'!$M$4=1,F21=H21),"Goal Met",
IF(AND('1. Measure Selection'!$M$4=1,F21&gt;H21),"Goal Exceeded",
IF(AND('1. Measure Selection'!$M$4=2,F21&lt;H21),"Goal Not Met",
IF(AND('1. Measure Selection'!$M$4=2,F21=H21),"Goal Met",
IF(AND('1. Measure Selection'!$M$4=2,F21&gt;H21),"Goal Exceeded",
""))))))))))</f>
        <v/>
      </c>
      <c r="J21" s="100" t="str">
        <f t="shared" si="7"/>
        <v/>
      </c>
      <c r="K21" s="100" t="str">
        <f t="shared" si="1"/>
        <v/>
      </c>
      <c r="L21" s="100" t="str">
        <f t="shared" si="8"/>
        <v/>
      </c>
      <c r="M21" s="119" t="str">
        <f t="shared" si="9"/>
        <v/>
      </c>
      <c r="N21" s="101" t="str">
        <f t="shared" si="12"/>
        <v/>
      </c>
      <c r="O21" s="149" t="str">
        <f t="shared" si="4"/>
        <v/>
      </c>
      <c r="P21" s="150" t="str">
        <f t="shared" si="10"/>
        <v>N/A</v>
      </c>
      <c r="Q21" s="20" t="str">
        <f>IF('1. Measure Selection'!$M$4=1,'1. Measure Selection'!L37,
IF('1. Measure Selection'!$M$4=2,'1. Measure Selection'!L37,""))</f>
        <v/>
      </c>
      <c r="R21" s="57" t="str">
        <f>IF(OR(C21=DataValTab!$F$60,C21=DataValTab!$F$61),17.5,
IF(OR(B21="Administrative",B21="eCQM"),35,
IF(B21="Structural",20,"ERROR")))</f>
        <v>ERROR</v>
      </c>
      <c r="S21" s="20" t="b">
        <f t="shared" si="5"/>
        <v>0</v>
      </c>
      <c r="T21" s="20" t="b">
        <f t="shared" si="6"/>
        <v>0</v>
      </c>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row>
    <row r="22" spans="2:45">
      <c r="B22" s="118" t="str">
        <f>IF('1. Measure Selection'!$M$4=1,DataValTab!E68,
IF('1. Measure Selection'!$M$4=2,DataValTab!K68,
""))</f>
        <v/>
      </c>
      <c r="C22" s="118" t="str">
        <f>IF('1. Measure Selection'!$M$4=1,DataValTab!$F68,
IF('1. Measure Selection'!$M$4=2,DataValTab!$L68,
""))</f>
        <v/>
      </c>
      <c r="D22" s="98"/>
      <c r="E22" s="280"/>
      <c r="F22" s="98"/>
      <c r="G22" s="280"/>
      <c r="H22" s="99" t="str">
        <f>IF('1. Measure Selection'!$M$4=1,VLOOKUP(B22&amp;C22,DataValTab!$C$49:$I$81,5,FALSE),
IF('1. Measure Selection'!$M$4=2,VLOOKUP(B22&amp;C22,DataValTab!$D$49:$M$81,10,FALSE),
""))</f>
        <v/>
      </c>
      <c r="I22" s="266" t="str">
        <f>IF(AND(Q22=TRUE,B22="Structural",F22="Measure Met"),"Goal Met",
IF(AND(Q22=FALSE,B22="Structural"),"",
IF(ISBLANK(F22),"",
IF(H22="TBD","TBD",
IF(AND('1. Measure Selection'!$M$4=1,F22&lt;H22),"Goal Not Met",
IF(AND('1. Measure Selection'!$M$4=1,F22=H22),"Goal Met",
IF(AND('1. Measure Selection'!$M$4=1,F22&gt;H22),"Goal Exceeded",
IF(AND('1. Measure Selection'!$M$4=2,F22&lt;H22),"Goal Not Met",
IF(AND('1. Measure Selection'!$M$4=2,F22=H22),"Goal Met",
IF(AND('1. Measure Selection'!$M$4=2,F22&gt;H22),"Goal Exceeded",
""))))))))))</f>
        <v/>
      </c>
      <c r="J22" s="100" t="str">
        <f t="shared" si="7"/>
        <v/>
      </c>
      <c r="K22" s="100" t="str">
        <f t="shared" si="1"/>
        <v/>
      </c>
      <c r="L22" s="100" t="str">
        <f t="shared" si="8"/>
        <v/>
      </c>
      <c r="M22" s="119" t="str">
        <f t="shared" si="9"/>
        <v/>
      </c>
      <c r="N22" s="101" t="str">
        <f t="shared" si="12"/>
        <v/>
      </c>
      <c r="O22" s="149" t="str">
        <f t="shared" si="4"/>
        <v/>
      </c>
      <c r="P22" s="150" t="str">
        <f t="shared" si="10"/>
        <v>N/A</v>
      </c>
      <c r="Q22" s="20" t="str">
        <f>IF('1. Measure Selection'!$M$4=1,'1. Measure Selection'!L38,
IF('1. Measure Selection'!$M$4=2,'1. Measure Selection'!L38,""))</f>
        <v/>
      </c>
      <c r="R22" s="57" t="str">
        <f>IF(OR(C22=DataValTab!$F$60,C22=DataValTab!$F$61),17.5,
IF(OR(B22="Administrative",B22="eCQM"),35,
IF(B22="Structural",20,"ERROR")))</f>
        <v>ERROR</v>
      </c>
      <c r="S22" s="20" t="b">
        <f t="shared" si="5"/>
        <v>0</v>
      </c>
      <c r="T22" s="20" t="b">
        <f t="shared" si="6"/>
        <v>0</v>
      </c>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row>
    <row r="23" spans="2:45">
      <c r="B23" s="118" t="str">
        <f>IF('1. Measure Selection'!$M$4=1,DataValTab!E69,
IF('1. Measure Selection'!$M$4=2,DataValTab!K69,
""))</f>
        <v/>
      </c>
      <c r="C23" s="118" t="str">
        <f>IF('1. Measure Selection'!$M$4=1,DataValTab!$F69,
IF('1. Measure Selection'!$M$4=2,DataValTab!$L69,
""))</f>
        <v/>
      </c>
      <c r="D23" s="98"/>
      <c r="E23" s="280"/>
      <c r="F23" s="98"/>
      <c r="G23" s="280"/>
      <c r="H23" s="99" t="str">
        <f>IF('1. Measure Selection'!$M$4=1,VLOOKUP(B23&amp;C23,DataValTab!$C$49:$I$81,5,FALSE),
IF('1. Measure Selection'!$M$4=2,VLOOKUP(B23&amp;C23,DataValTab!$D$49:$M$81,10,FALSE),
""))</f>
        <v/>
      </c>
      <c r="I23" s="266" t="str">
        <f>IF(AND(Q23=TRUE,B23="Structural",F23="Measure Met"),"Goal Met",
IF(AND(Q23=FALSE,B23="Structural"),"",
IF(ISBLANK(F23),"",
IF(H23="TBD","TBD",
IF(AND('1. Measure Selection'!$M$4=1,F23&lt;H23),"Goal Not Met",
IF(AND('1. Measure Selection'!$M$4=1,F23=H23),"Goal Met",
IF(AND('1. Measure Selection'!$M$4=1,F23&gt;H23),"Goal Exceeded",
IF(AND('1. Measure Selection'!$M$4=2,F23&lt;H23),"Goal Not Met",
IF(AND('1. Measure Selection'!$M$4=2,F23=H23),"Goal Met",
IF(AND('1. Measure Selection'!$M$4=2,F23&gt;H23),"Goal Exceeded",
""))))))))))</f>
        <v/>
      </c>
      <c r="J23" s="100" t="str">
        <f t="shared" si="7"/>
        <v/>
      </c>
      <c r="K23" s="100" t="str">
        <f t="shared" si="1"/>
        <v/>
      </c>
      <c r="L23" s="100" t="str">
        <f>IF(B23="Structural","N/A",
IF(B23="","",
IF(AND(F23&lt;&gt;"",H23="TBD"),"TBD",
IF(AND(F23&gt;=H23,F23&lt;&gt;""),"N/A",
IF(ISBLANK(D23),"N/A",D23+K23)))))</f>
        <v/>
      </c>
      <c r="M23" s="119" t="str">
        <f t="shared" si="9"/>
        <v/>
      </c>
      <c r="N23" s="101" t="str">
        <f t="shared" si="12"/>
        <v/>
      </c>
      <c r="O23" s="149" t="str">
        <f t="shared" si="4"/>
        <v/>
      </c>
      <c r="P23" s="150" t="str">
        <f t="shared" si="10"/>
        <v>N/A</v>
      </c>
      <c r="Q23" s="20" t="str">
        <f>IF('1. Measure Selection'!$M$4=1,'1. Measure Selection'!L39,
IF('1. Measure Selection'!$M$4=2,'1. Measure Selection'!L39,""))</f>
        <v/>
      </c>
      <c r="R23" s="57" t="str">
        <f>IF(OR(C23=DataValTab!$F$60,C23=DataValTab!$F$61),17.5,
IF(OR(B23="Administrative",B23="eCQM"),35,
IF(B23="Structural",20,"ERROR")))</f>
        <v>ERROR</v>
      </c>
      <c r="S23" s="20" t="b">
        <f t="shared" si="5"/>
        <v>0</v>
      </c>
      <c r="T23" s="20" t="b">
        <f t="shared" si="6"/>
        <v>0</v>
      </c>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row>
    <row r="24" spans="2:45">
      <c r="B24" s="118" t="str">
        <f>IF('1. Measure Selection'!$M$4=1,DataValTab!E70,
IF('1. Measure Selection'!$M$4=2,DataValTab!K70,
""))</f>
        <v/>
      </c>
      <c r="C24" s="118" t="str">
        <f>IF('1. Measure Selection'!$M$4=1,DataValTab!$F70,
IF('1. Measure Selection'!$M$4=2,DataValTab!$L70,
""))</f>
        <v/>
      </c>
      <c r="D24" s="98"/>
      <c r="E24" s="280"/>
      <c r="F24" s="98"/>
      <c r="G24" s="280"/>
      <c r="H24" s="99" t="str">
        <f>IF('1. Measure Selection'!$M$4=1,VLOOKUP(B24&amp;C24,DataValTab!$C$49:$I$81,5,FALSE),
IF('1. Measure Selection'!$M$4=2,VLOOKUP(B24&amp;C24,DataValTab!$D$49:$M$81,10,FALSE),
""))</f>
        <v/>
      </c>
      <c r="I24" s="266" t="str">
        <f>IF(AND(Q24=TRUE,B24="Structural",F24="Measure Met"),"Goal Met",
IF(AND(Q24=FALSE,B24="Structural"),"",
IF(ISBLANK(F24),"",
IF(H24="TBD","TBD",
IF(AND('1. Measure Selection'!$M$4=1,F24&lt;H24),"Goal Not Met",
IF(AND('1. Measure Selection'!$M$4=1,F24=H24),"Goal Met",
IF(AND('1. Measure Selection'!$M$4=1,F24&gt;H24),"Goal Exceeded",
IF(AND('1. Measure Selection'!$M$4=2,F24&lt;H24),"Goal Not Met",
IF(AND('1. Measure Selection'!$M$4=2,F24=H24),"Goal Met",
IF(AND('1. Measure Selection'!$M$4=2,F24&gt;H24),"Goal Exceeded",
""))))))))))</f>
        <v/>
      </c>
      <c r="J24" s="100" t="str">
        <f t="shared" ref="J24:J35" si="13">IF(B24="Structural","N/A",
IF(AND(ISBLANK(D24),ISBLANK(F24)),"",
IF(ISTEXT(H24),"N/A",
IF(AND(F24&gt;=H24,OR(D24&lt;&gt;"",D24="")),"N/A",
IF(AND(ISNUMBER(H24),F24&lt;&gt;"",D24=""),"N/A",
IF(AND(ISNUMBER(H24),F24&lt;H24,D24&lt;&gt;""),H24-D24,""))))))</f>
        <v/>
      </c>
      <c r="K24" s="100" t="str">
        <f t="shared" ref="K24:K35" si="14">IF(B24="Structural","N/A",
IF(AND(ISBLANK(D24),ISBLANK(F24)),"",
IF(J24="N/A","N/A",
IF(H24="TBD","TBD",
IF(AND(F24&lt;&gt;"",D24=""),"N/A",
J24/10)))))</f>
        <v/>
      </c>
      <c r="L24" s="100" t="str">
        <f t="shared" ref="L24:L35" si="15">IF(B24="Structural","N/A",
IF(B24="","",
IF(AND(F24&lt;&gt;"",H24="TBD"),"TBD",
IF(AND(F24&gt;=H24,F24&lt;&gt;""),"N/A",
IF(ISBLANK(D24),"N/A",D24+K24)))))</f>
        <v/>
      </c>
      <c r="M24" s="119" t="str">
        <f t="shared" si="9"/>
        <v/>
      </c>
      <c r="N24" s="101" t="str">
        <f t="shared" si="12"/>
        <v/>
      </c>
      <c r="O24" s="149" t="str">
        <f t="shared" si="4"/>
        <v/>
      </c>
      <c r="P24" s="150" t="str">
        <f t="shared" si="10"/>
        <v>N/A</v>
      </c>
      <c r="Q24" s="20" t="str">
        <f>IF('1. Measure Selection'!$M$4=1,'1. Measure Selection'!L40,
IF('1. Measure Selection'!$M$4=2,'1. Measure Selection'!L40,""))</f>
        <v/>
      </c>
      <c r="R24" s="57" t="str">
        <f>IF(OR(C24=DataValTab!$F$60,C24=DataValTab!$F$61),17.5,
IF(OR(B24="Administrative",B24="eCQM"),35,
IF(B24="Structural",20,"ERROR")))</f>
        <v>ERROR</v>
      </c>
      <c r="S24" s="20" t="b">
        <f t="shared" si="5"/>
        <v>0</v>
      </c>
      <c r="T24" s="20" t="b">
        <f t="shared" si="6"/>
        <v>0</v>
      </c>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row>
    <row r="25" spans="2:45">
      <c r="B25" s="118" t="str">
        <f>IF('1. Measure Selection'!$M$4=1,DataValTab!E71,
IF('1. Measure Selection'!$M$4=2,DataValTab!K71,
""))</f>
        <v/>
      </c>
      <c r="C25" s="118" t="str">
        <f>IF('1. Measure Selection'!$M$4=1,DataValTab!$F71,
IF('1. Measure Selection'!$M$4=2,DataValTab!$L71,
""))</f>
        <v/>
      </c>
      <c r="D25" s="98"/>
      <c r="E25" s="280"/>
      <c r="F25" s="98"/>
      <c r="G25" s="280"/>
      <c r="H25" s="99" t="str">
        <f>IF('1. Measure Selection'!$M$4=1,VLOOKUP(B25&amp;C25,DataValTab!$C$49:$I$81,5,FALSE),
IF('1. Measure Selection'!$M$4=2,VLOOKUP(B25&amp;C25,DataValTab!$D$49:$M$81,10,FALSE),
""))</f>
        <v/>
      </c>
      <c r="I25" s="266" t="str">
        <f>IF(AND(Q25=TRUE,B25="Structural",F25="Measure Met"),"Goal Met",
IF(AND(Q25=FALSE,B25="Structural"),"",
IF(ISBLANK(F25),"",
IF(H25="TBD","TBD",
IF(AND('1. Measure Selection'!$M$4=1,F25&lt;H25),"Goal Not Met",
IF(AND('1. Measure Selection'!$M$4=1,F25=H25),"Goal Met",
IF(AND('1. Measure Selection'!$M$4=1,F25&gt;H25),"Goal Exceeded",
IF(AND('1. Measure Selection'!$M$4=2,F25&lt;H25),"Goal Not Met",
IF(AND('1. Measure Selection'!$M$4=2,F25=H25),"Goal Met",
IF(AND('1. Measure Selection'!$M$4=2,F25&gt;H25),"Goal Exceeded",
""))))))))))</f>
        <v/>
      </c>
      <c r="J25" s="100" t="str">
        <f t="shared" si="13"/>
        <v/>
      </c>
      <c r="K25" s="100" t="str">
        <f t="shared" si="14"/>
        <v/>
      </c>
      <c r="L25" s="100" t="str">
        <f t="shared" si="15"/>
        <v/>
      </c>
      <c r="M25" s="119" t="str">
        <f t="shared" si="9"/>
        <v/>
      </c>
      <c r="N25" s="101" t="str">
        <f t="shared" si="12"/>
        <v/>
      </c>
      <c r="O25" s="149" t="str">
        <f t="shared" si="4"/>
        <v/>
      </c>
      <c r="P25" s="150" t="str">
        <f t="shared" ref="P25:P33" si="16">IF(ISNUMBER(M25*10),M25*10,"N/A")</f>
        <v>N/A</v>
      </c>
      <c r="Q25" s="20" t="str">
        <f>IF('1. Measure Selection'!$M$4=1,'1. Measure Selection'!L41,
IF('1. Measure Selection'!$M$4=2,'1. Measure Selection'!L41,""))</f>
        <v/>
      </c>
      <c r="R25" s="57" t="str">
        <f>IF(OR(C25=DataValTab!$F$60,C25=DataValTab!$F$61),17.5,
IF(OR(B25="Administrative",B25="eCQM"),35,
IF(B25="Structural",20,"ERROR")))</f>
        <v>ERROR</v>
      </c>
      <c r="S25" s="20" t="b">
        <f t="shared" si="5"/>
        <v>0</v>
      </c>
      <c r="T25" s="20" t="b">
        <f t="shared" si="6"/>
        <v>0</v>
      </c>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row>
    <row r="26" spans="2:45">
      <c r="B26" s="118" t="str">
        <f>IF('1. Measure Selection'!$M$4=1,DataValTab!E72,
IF('1. Measure Selection'!$M$4=2,DataValTab!K72,
""))</f>
        <v/>
      </c>
      <c r="C26" s="118" t="str">
        <f>IF('1. Measure Selection'!$M$4=1,DataValTab!$F72,
IF('1. Measure Selection'!$M$4=2,DataValTab!$L72,
""))</f>
        <v/>
      </c>
      <c r="D26" s="98"/>
      <c r="E26" s="280"/>
      <c r="F26" s="98"/>
      <c r="G26" s="280"/>
      <c r="H26" s="99" t="str">
        <f>IF('1. Measure Selection'!$M$4=1,VLOOKUP(B26&amp;C26,DataValTab!$C$49:$I$81,5,FALSE),
IF('1. Measure Selection'!$M$4=2,VLOOKUP(B26&amp;C26,DataValTab!$D$49:$M$81,10,FALSE),
""))</f>
        <v/>
      </c>
      <c r="I26" s="266" t="str">
        <f>IF(AND(Q26=TRUE,B26="Structural",F26="Measure Met"),"Goal Met",
IF(AND(Q26=FALSE,B26="Structural"),"",
IF(ISBLANK(F26),"",
IF(H26="TBD","TBD",
IF(AND('1. Measure Selection'!$M$4=1,F26&lt;H26),"Goal Not Met",
IF(AND('1. Measure Selection'!$M$4=1,F26=H26),"Goal Met",
IF(AND('1. Measure Selection'!$M$4=1,F26&gt;H26),"Goal Exceeded",
IF(AND('1. Measure Selection'!$M$4=2,F26&lt;H26),"Goal Not Met",
IF(AND('1. Measure Selection'!$M$4=2,F26=H26),"Goal Met",
IF(AND('1. Measure Selection'!$M$4=2,F26&gt;H26),"Goal Exceeded",
""))))))))))</f>
        <v/>
      </c>
      <c r="J26" s="100" t="str">
        <f t="shared" ref="J26:J29" si="17">IF(B26="Structural","N/A",
IF(AND(ISBLANK(D26),ISBLANK(F26)),"",
IF(ISTEXT(H26),"N/A",
IF(AND(F26&gt;=H26,OR(D26&lt;&gt;"",D26="")),"N/A",
IF(AND(ISNUMBER(H26),F26&lt;&gt;"",D26=""),"N/A",
IF(AND(ISNUMBER(H26),F26&lt;H26,D26&lt;&gt;""),H26-D26,""))))))</f>
        <v/>
      </c>
      <c r="K26" s="100" t="str">
        <f t="shared" ref="K26:K29" si="18">IF(B26="Structural","N/A",
IF(AND(ISBLANK(D26),ISBLANK(F26)),"",
IF(J26="N/A","N/A",
IF(H26="TBD","TBD",
IF(AND(F26&lt;&gt;"",D26=""),"N/A",
J26/10)))))</f>
        <v/>
      </c>
      <c r="L26" s="100" t="str">
        <f t="shared" ref="L26:L29" si="19">IF(B26="Structural","N/A",
IF(B26="","",
IF(AND(F26&lt;&gt;"",H26="TBD"),"TBD",
IF(AND(F26&gt;=H26,F26&lt;&gt;""),"N/A",
IF(ISBLANK(D26),"N/A",D26+K26)))))</f>
        <v/>
      </c>
      <c r="M26" s="119" t="str">
        <f t="shared" ref="M26:M29" si="20">IF(B26="Structural","N/A",
IF(B26="","",
IF(AND(B26&lt;&gt;"Structural",O26=""),0,O26)))</f>
        <v/>
      </c>
      <c r="N26" s="101" t="str">
        <f t="shared" si="12"/>
        <v/>
      </c>
      <c r="O26" s="149" t="str">
        <f t="shared" si="4"/>
        <v/>
      </c>
      <c r="P26" s="150" t="str">
        <f t="shared" si="16"/>
        <v>N/A</v>
      </c>
      <c r="Q26" s="20" t="str">
        <f>IF('1. Measure Selection'!$M$4=1,'1. Measure Selection'!L42,
IF('1. Measure Selection'!$M$4=2,'1. Measure Selection'!L42,""))</f>
        <v/>
      </c>
      <c r="R26" s="57" t="str">
        <f>IF(OR(C26=DataValTab!$F$60,C26=DataValTab!$F$61),17.5,
IF(OR(B26="Administrative",B26="eCQM"),35,
IF(B26="Structural",20,"ERROR")))</f>
        <v>ERROR</v>
      </c>
      <c r="S26" s="20" t="b">
        <f t="shared" si="5"/>
        <v>0</v>
      </c>
      <c r="T26" s="20" t="b">
        <f t="shared" si="6"/>
        <v>0</v>
      </c>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row>
    <row r="27" spans="2:45">
      <c r="B27" s="118" t="str">
        <f>IF('1. Measure Selection'!$M$4=1,DataValTab!E73,
IF('1. Measure Selection'!$M$4=2,DataValTab!K73,
""))</f>
        <v/>
      </c>
      <c r="C27" s="118" t="str">
        <f>IF('1. Measure Selection'!$M$4=1,DataValTab!$F73,
IF('1. Measure Selection'!$M$4=2,DataValTab!$L73,
""))</f>
        <v/>
      </c>
      <c r="D27" s="98"/>
      <c r="E27" s="280"/>
      <c r="F27" s="98"/>
      <c r="G27" s="280"/>
      <c r="H27" s="99" t="str">
        <f>IF('1. Measure Selection'!$M$4=1,VLOOKUP(B27&amp;C27,DataValTab!$C$49:$I$81,5,FALSE),
IF('1. Measure Selection'!$M$4=2,VLOOKUP(B27&amp;C27,DataValTab!$D$49:$M$81,10,FALSE),
""))</f>
        <v/>
      </c>
      <c r="I27" s="266" t="str">
        <f>IF(AND(Q27=TRUE,B27="Structural",F27="Measure Met"),"Goal Met",
IF(AND(Q27=FALSE,B27="Structural"),"",
IF(ISBLANK(F27),"",
IF(H27="TBD","TBD",
IF(AND('1. Measure Selection'!$M$4=1,F27&lt;H27),"Goal Not Met",
IF(AND('1. Measure Selection'!$M$4=1,F27=H27),"Goal Met",
IF(AND('1. Measure Selection'!$M$4=1,F27&gt;H27),"Goal Exceeded",
IF(AND('1. Measure Selection'!$M$4=2,F27&lt;H27),"Goal Not Met",
IF(AND('1. Measure Selection'!$M$4=2,F27=H27),"Goal Met",
IF(AND('1. Measure Selection'!$M$4=2,F27&gt;H27),"Goal Exceeded",
""))))))))))</f>
        <v/>
      </c>
      <c r="J27" s="100" t="str">
        <f t="shared" si="17"/>
        <v/>
      </c>
      <c r="K27" s="100" t="str">
        <f t="shared" si="18"/>
        <v/>
      </c>
      <c r="L27" s="100" t="str">
        <f t="shared" si="19"/>
        <v/>
      </c>
      <c r="M27" s="119" t="str">
        <f t="shared" si="20"/>
        <v/>
      </c>
      <c r="N27" s="101" t="str">
        <f t="shared" si="12"/>
        <v/>
      </c>
      <c r="O27" s="149" t="str">
        <f t="shared" si="4"/>
        <v/>
      </c>
      <c r="P27" s="150" t="str">
        <f t="shared" si="16"/>
        <v>N/A</v>
      </c>
      <c r="Q27" s="20" t="str">
        <f>IF('1. Measure Selection'!$M$4=1,'1. Measure Selection'!L45,
IF('1. Measure Selection'!$M$4=2,'1. Measure Selection'!L45,""))</f>
        <v/>
      </c>
      <c r="R27" s="57" t="str">
        <f>IF(OR(C27=DataValTab!$F$60,C27=DataValTab!$F$61),17.5,
IF(OR(B27="Administrative",B27="eCQM"),35,
IF(B27="Structural",20,"ERROR")))</f>
        <v>ERROR</v>
      </c>
      <c r="S27" s="20" t="b">
        <f t="shared" si="5"/>
        <v>0</v>
      </c>
      <c r="T27" s="20" t="b">
        <f t="shared" si="6"/>
        <v>0</v>
      </c>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row>
    <row r="28" spans="2:45">
      <c r="B28" s="118" t="str">
        <f>IF('1. Measure Selection'!$M$4=1,DataValTab!E74,
IF('1. Measure Selection'!$M$4=2,DataValTab!K74,
""))</f>
        <v/>
      </c>
      <c r="C28" s="118" t="str">
        <f>IF('1. Measure Selection'!$M$4=1,DataValTab!$F74,
IF('1. Measure Selection'!$M$4=2,DataValTab!$L74,
""))</f>
        <v/>
      </c>
      <c r="D28" s="98"/>
      <c r="E28" s="280"/>
      <c r="F28" s="98"/>
      <c r="G28" s="280"/>
      <c r="H28" s="99" t="str">
        <f>IF('1. Measure Selection'!$M$4=1,VLOOKUP(B28&amp;C28,DataValTab!$C$49:$I$81,5,FALSE),
IF('1. Measure Selection'!$M$4=2,VLOOKUP(B28&amp;C28,DataValTab!$D$49:$M$81,10,FALSE),
""))</f>
        <v/>
      </c>
      <c r="I28" s="266" t="str">
        <f>IF(AND(Q28=TRUE,B28="Structural",F28="Measure Met"),"Goal Met",
IF(AND(Q28=FALSE,B28="Structural"),"",
IF(ISBLANK(F28),"",
IF(H28="TBD","TBD",
IF(AND('1. Measure Selection'!$M$4=1,F28&lt;H28),"Goal Not Met",
IF(AND('1. Measure Selection'!$M$4=1,F28=H28),"Goal Met",
IF(AND('1. Measure Selection'!$M$4=1,F28&gt;H28),"Goal Exceeded",
IF(AND('1. Measure Selection'!$M$4=2,F28&lt;H28),"Goal Not Met",
IF(AND('1. Measure Selection'!$M$4=2,F28=H28),"Goal Met",
IF(AND('1. Measure Selection'!$M$4=2,F28&gt;H28),"Goal Exceeded",
""))))))))))</f>
        <v/>
      </c>
      <c r="J28" s="100" t="str">
        <f t="shared" si="17"/>
        <v/>
      </c>
      <c r="K28" s="100" t="str">
        <f t="shared" si="18"/>
        <v/>
      </c>
      <c r="L28" s="100" t="str">
        <f t="shared" si="19"/>
        <v/>
      </c>
      <c r="M28" s="119" t="str">
        <f t="shared" si="20"/>
        <v/>
      </c>
      <c r="N28" s="101" t="str">
        <f t="shared" si="12"/>
        <v/>
      </c>
      <c r="O28" s="149" t="str">
        <f t="shared" si="4"/>
        <v/>
      </c>
      <c r="P28" s="150" t="str">
        <f t="shared" si="16"/>
        <v>N/A</v>
      </c>
      <c r="Q28" s="20" t="str">
        <f>IF('1. Measure Selection'!$M$4=1,'1. Measure Selection'!L46,
IF('1. Measure Selection'!$M$4=2,'1. Measure Selection'!L46,""))</f>
        <v/>
      </c>
      <c r="R28" s="57" t="str">
        <f>IF(OR(C28=DataValTab!$F$60,C28=DataValTab!$F$61),17.5,
IF(OR(B28="Administrative",B28="eCQM"),35,
IF(B28="Structural",20,"ERROR")))</f>
        <v>ERROR</v>
      </c>
      <c r="S28" s="20" t="b">
        <f t="shared" si="5"/>
        <v>0</v>
      </c>
      <c r="T28" s="20" t="b">
        <f t="shared" si="6"/>
        <v>0</v>
      </c>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row>
    <row r="29" spans="2:45">
      <c r="B29" s="118" t="str">
        <f>IF('1. Measure Selection'!$M$4=1,DataValTab!E75,
IF('1. Measure Selection'!$M$4=2,DataValTab!K75,
""))</f>
        <v/>
      </c>
      <c r="C29" s="118" t="str">
        <f>IF('1. Measure Selection'!$M$4=1,DataValTab!$F75,
IF('1. Measure Selection'!$M$4=2,DataValTab!$L75,
""))</f>
        <v/>
      </c>
      <c r="D29" s="98"/>
      <c r="E29" s="280"/>
      <c r="F29" s="98"/>
      <c r="G29" s="280"/>
      <c r="H29" s="99" t="str">
        <f>IF('1. Measure Selection'!$M$4=1,VLOOKUP(B29&amp;C29,DataValTab!$C$49:$I$81,5,FALSE),
IF('1. Measure Selection'!$M$4=2,VLOOKUP(B29&amp;C29,DataValTab!$D$49:$M$81,10,FALSE),
""))</f>
        <v/>
      </c>
      <c r="I29" s="266" t="str">
        <f>IF(AND(Q29=TRUE,B29="Structural",F29="Measure Met"),"Goal Met",
IF(AND(Q29=FALSE,B29="Structural"),"",
IF(ISBLANK(F29),"",
IF(H29="TBD","TBD",
IF(AND('1. Measure Selection'!$M$4=1,F29&lt;H29),"Goal Not Met",
IF(AND('1. Measure Selection'!$M$4=1,F29=H29),"Goal Met",
IF(AND('1. Measure Selection'!$M$4=1,F29&gt;H29),"Goal Exceeded",
IF(AND('1. Measure Selection'!$M$4=2,F29&lt;H29),"Goal Not Met",
IF(AND('1. Measure Selection'!$M$4=2,F29=H29),"Goal Met",
IF(AND('1. Measure Selection'!$M$4=2,F29&gt;H29),"Goal Exceeded",
""))))))))))</f>
        <v/>
      </c>
      <c r="J29" s="100" t="str">
        <f t="shared" si="17"/>
        <v/>
      </c>
      <c r="K29" s="100" t="str">
        <f t="shared" si="18"/>
        <v/>
      </c>
      <c r="L29" s="100" t="str">
        <f t="shared" si="19"/>
        <v/>
      </c>
      <c r="M29" s="119" t="str">
        <f t="shared" si="20"/>
        <v/>
      </c>
      <c r="N29" s="101" t="str">
        <f t="shared" si="12"/>
        <v/>
      </c>
      <c r="O29" s="149" t="str">
        <f t="shared" si="4"/>
        <v/>
      </c>
      <c r="P29" s="150" t="str">
        <f t="shared" si="16"/>
        <v>N/A</v>
      </c>
      <c r="Q29" s="20" t="str">
        <f>IF('1. Measure Selection'!$M$4=1,'1. Measure Selection'!L47,
IF('1. Measure Selection'!$M$4=2,'1. Measure Selection'!L47,""))</f>
        <v/>
      </c>
      <c r="R29" s="57" t="str">
        <f>IF(OR(C29=DataValTab!$F$60,C29=DataValTab!$F$61),17.5,
IF(OR(B29="Administrative",B29="eCQM"),35,
IF(B29="Structural",20,"ERROR")))</f>
        <v>ERROR</v>
      </c>
      <c r="S29" s="20" t="b">
        <f t="shared" si="5"/>
        <v>0</v>
      </c>
      <c r="T29" s="20" t="b">
        <f t="shared" si="6"/>
        <v>0</v>
      </c>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row>
    <row r="30" spans="2:45">
      <c r="B30" s="118" t="str">
        <f>IF('1. Measure Selection'!$M$4=1,DataValTab!E76,
IF('1. Measure Selection'!$M$4=2,DataValTab!K76,
""))</f>
        <v/>
      </c>
      <c r="C30" s="118" t="str">
        <f>IF('1. Measure Selection'!$M$4=1,DataValTab!$F76,
IF('1. Measure Selection'!$M$4=2,DataValTab!$L76,
""))</f>
        <v/>
      </c>
      <c r="D30" s="98"/>
      <c r="E30" s="280"/>
      <c r="F30" s="98"/>
      <c r="G30" s="280"/>
      <c r="H30" s="99" t="str">
        <f>IF('1. Measure Selection'!$M$4=1,VLOOKUP(B30&amp;C30,DataValTab!$C$49:$I$81,5,FALSE),
IF('1. Measure Selection'!$M$4=2,VLOOKUP(B30&amp;C30,DataValTab!$D$49:$M$81,10,FALSE),
""))</f>
        <v/>
      </c>
      <c r="I30" s="266" t="str">
        <f>IF(AND(Q30=TRUE,B30="Structural",F30="Measure Met"),"Goal Met",
IF(AND(Q30=FALSE,B30="Structural"),"",
IF(ISBLANK(F30),"",
IF(H30="TBD","TBD",
IF(AND('1. Measure Selection'!$M$4=1,F30&lt;H30),"Goal Not Met",
IF(AND('1. Measure Selection'!$M$4=1,F30=H30),"Goal Met",
IF(AND('1. Measure Selection'!$M$4=1,F30&gt;H30),"Goal Exceeded",
IF(AND('1. Measure Selection'!$M$4=2,F30&lt;H30),"Goal Not Met",
IF(AND('1. Measure Selection'!$M$4=2,F30=H30),"Goal Met",
IF(AND('1. Measure Selection'!$M$4=2,F30&gt;H30),"Goal Exceeded",
""))))))))))</f>
        <v/>
      </c>
      <c r="J30" s="100" t="str">
        <f t="shared" si="13"/>
        <v/>
      </c>
      <c r="K30" s="100" t="str">
        <f t="shared" si="14"/>
        <v/>
      </c>
      <c r="L30" s="100" t="str">
        <f t="shared" si="15"/>
        <v/>
      </c>
      <c r="M30" s="119" t="str">
        <f t="shared" si="9"/>
        <v/>
      </c>
      <c r="N30" s="101" t="str">
        <f t="shared" si="12"/>
        <v/>
      </c>
      <c r="O30" s="149" t="str">
        <f t="shared" si="4"/>
        <v/>
      </c>
      <c r="P30" s="150" t="str">
        <f t="shared" si="16"/>
        <v>N/A</v>
      </c>
      <c r="Q30" s="20" t="str">
        <f>IF('1. Measure Selection'!$M$4=1,'1. Measure Selection'!L48,
IF('1. Measure Selection'!$M$4=2,'1. Measure Selection'!L48,""))</f>
        <v/>
      </c>
      <c r="R30" s="57" t="str">
        <f>IF(OR(C30=DataValTab!$F$60,C30=DataValTab!$F$61),17.5,
IF(OR(B30="Administrative",B30="eCQM"),35,
IF(B30="Structural",20,"ERROR")))</f>
        <v>ERROR</v>
      </c>
      <c r="S30" s="20" t="b">
        <f t="shared" si="5"/>
        <v>0</v>
      </c>
      <c r="T30" s="20" t="b">
        <f t="shared" si="6"/>
        <v>0</v>
      </c>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row>
    <row r="31" spans="2:45">
      <c r="B31" s="118" t="str">
        <f>IF('1. Measure Selection'!$M$4=1,DataValTab!E77,
IF('1. Measure Selection'!$M$4=2,DataValTab!K77,
""))</f>
        <v/>
      </c>
      <c r="C31" s="118" t="str">
        <f>IF('1. Measure Selection'!$M$4=1,DataValTab!$F77,
IF('1. Measure Selection'!$M$4=2,DataValTab!$L77,
""))</f>
        <v/>
      </c>
      <c r="D31" s="98"/>
      <c r="E31" s="280"/>
      <c r="F31" s="98"/>
      <c r="G31" s="280"/>
      <c r="H31" s="99" t="str">
        <f>IF('1. Measure Selection'!$M$4=1,VLOOKUP(B31&amp;C31,DataValTab!$C$49:$I$81,5,FALSE),
IF('1. Measure Selection'!$M$4=2,VLOOKUP(B31&amp;C31,DataValTab!$D$49:$M$81,10,FALSE),
""))</f>
        <v/>
      </c>
      <c r="I31" s="266" t="str">
        <f>IF(AND(Q31=TRUE,B31="Structural",F31="Measure Met"),"Goal Met",
IF(AND(Q31=FALSE,B31="Structural"),"",
IF(ISBLANK(F31),"",
IF(H31="TBD","TBD",
IF(AND('1. Measure Selection'!$M$4=1,F31&lt;H31),"Goal Not Met",
IF(AND('1. Measure Selection'!$M$4=1,F31=H31),"Goal Met",
IF(AND('1. Measure Selection'!$M$4=1,F31&gt;H31),"Goal Exceeded",
IF(AND('1. Measure Selection'!$M$4=2,F31&lt;H31),"Goal Not Met",
IF(AND('1. Measure Selection'!$M$4=2,F31=H31),"Goal Met",
IF(AND('1. Measure Selection'!$M$4=2,F31&gt;H31),"Goal Exceeded",
""))))))))))</f>
        <v/>
      </c>
      <c r="J31" s="100" t="str">
        <f t="shared" si="13"/>
        <v/>
      </c>
      <c r="K31" s="100" t="str">
        <f t="shared" si="14"/>
        <v/>
      </c>
      <c r="L31" s="100" t="str">
        <f t="shared" si="15"/>
        <v/>
      </c>
      <c r="M31" s="119" t="str">
        <f t="shared" si="9"/>
        <v/>
      </c>
      <c r="N31" s="101" t="str">
        <f t="shared" si="12"/>
        <v/>
      </c>
      <c r="O31" s="149" t="str">
        <f t="shared" si="4"/>
        <v/>
      </c>
      <c r="P31" s="150" t="str">
        <f t="shared" si="16"/>
        <v>N/A</v>
      </c>
      <c r="Q31" s="20" t="str">
        <f>IF('1. Measure Selection'!$M$4=1,'1. Measure Selection'!L49,
IF('1. Measure Selection'!$M$4=2,'1. Measure Selection'!L49,""))</f>
        <v/>
      </c>
      <c r="R31" s="57" t="str">
        <f>IF(OR(C31=DataValTab!$F$60,C31=DataValTab!$F$61),17.5,
IF(OR(B31="Administrative",B31="eCQM"),35,
IF(B31="Structural",20,"ERROR")))</f>
        <v>ERROR</v>
      </c>
      <c r="S31" s="20" t="b">
        <f t="shared" si="5"/>
        <v>0</v>
      </c>
      <c r="T31" s="20" t="b">
        <f t="shared" si="6"/>
        <v>0</v>
      </c>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row>
    <row r="32" spans="2:45">
      <c r="B32" s="118" t="str">
        <f>IF('1. Measure Selection'!$M$4=1,DataValTab!E78,
IF('1. Measure Selection'!$M$4=2,DataValTab!K78,
""))</f>
        <v/>
      </c>
      <c r="C32" s="118" t="str">
        <f>IF('1. Measure Selection'!$M$4=1,DataValTab!$F78,
IF('1. Measure Selection'!$M$4=2,DataValTab!$L78,
""))</f>
        <v/>
      </c>
      <c r="D32" s="98"/>
      <c r="E32" s="280"/>
      <c r="F32" s="98"/>
      <c r="G32" s="280"/>
      <c r="H32" s="99" t="str">
        <f>IF('1. Measure Selection'!$M$4=1,VLOOKUP(B32&amp;C32,DataValTab!$C$49:$I$81,5,FALSE),
IF('1. Measure Selection'!$M$4=2,VLOOKUP(B32&amp;C32,DataValTab!$D$49:$M$81,10,FALSE),
""))</f>
        <v/>
      </c>
      <c r="I32" s="266" t="str">
        <f>IF(AND(Q32=TRUE,B32="Structural",F32="Measure Met"),"Goal Met",
IF(AND(Q32=FALSE,B32="Structural"),"",
IF(ISBLANK(F32),"",
IF(H32="TBD","TBD",
IF(AND('1. Measure Selection'!$M$4=1,F32&lt;H32),"Goal Not Met",
IF(AND('1. Measure Selection'!$M$4=1,F32=H32),"Goal Met",
IF(AND('1. Measure Selection'!$M$4=1,F32&gt;H32),"Goal Exceeded",
IF(AND('1. Measure Selection'!$M$4=2,F32&lt;H32),"Goal Not Met",
IF(AND('1. Measure Selection'!$M$4=2,F32=H32),"Goal Met",
IF(AND('1. Measure Selection'!$M$4=2,F32&gt;H32),"Goal Exceeded",
""))))))))))</f>
        <v/>
      </c>
      <c r="J32" s="100" t="str">
        <f t="shared" si="13"/>
        <v/>
      </c>
      <c r="K32" s="100" t="str">
        <f t="shared" si="14"/>
        <v/>
      </c>
      <c r="L32" s="100" t="str">
        <f t="shared" si="15"/>
        <v/>
      </c>
      <c r="M32" s="119" t="str">
        <f t="shared" si="9"/>
        <v/>
      </c>
      <c r="N32" s="101" t="str">
        <f t="shared" si="12"/>
        <v/>
      </c>
      <c r="O32" s="149" t="str">
        <f t="shared" si="4"/>
        <v/>
      </c>
      <c r="P32" s="150" t="str">
        <f t="shared" si="16"/>
        <v>N/A</v>
      </c>
      <c r="Q32" s="20" t="str">
        <f>IF('1. Measure Selection'!$M$4=1,'1. Measure Selection'!L50,
IF('1. Measure Selection'!$M$4=2,'1. Measure Selection'!L50,""))</f>
        <v/>
      </c>
      <c r="R32" s="57" t="str">
        <f>IF(OR(C32=DataValTab!$F$60,C32=DataValTab!$F$61),17.5,
IF(OR(B32="Administrative",B32="eCQM"),35,
IF(B32="Structural",20,"ERROR")))</f>
        <v>ERROR</v>
      </c>
      <c r="S32" s="20" t="b">
        <f t="shared" si="5"/>
        <v>0</v>
      </c>
      <c r="T32" s="20" t="b">
        <f t="shared" si="6"/>
        <v>0</v>
      </c>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row>
    <row r="33" spans="2:45">
      <c r="B33" s="118" t="str">
        <f>IF('1. Measure Selection'!$M$4=1,DataValTab!E79,
IF('1. Measure Selection'!$M$4=2,DataValTab!K79,
""))</f>
        <v/>
      </c>
      <c r="C33" s="118" t="str">
        <f>IF('1. Measure Selection'!$M$4=1,DataValTab!$F79,
IF('1. Measure Selection'!$M$4=2,DataValTab!$L79,
""))</f>
        <v/>
      </c>
      <c r="D33" s="98"/>
      <c r="E33" s="280"/>
      <c r="F33" s="98"/>
      <c r="G33" s="280"/>
      <c r="H33" s="99" t="str">
        <f>IF('1. Measure Selection'!$M$4=1,VLOOKUP(B33&amp;C33,DataValTab!$C$49:$I$81,5,FALSE),
IF('1. Measure Selection'!$M$4=2,VLOOKUP(B33&amp;C33,DataValTab!$D$49:$M$81,10,FALSE),
""))</f>
        <v/>
      </c>
      <c r="I33" s="266" t="str">
        <f>IF(AND(Q33=TRUE,B33="Structural",F33="Measure Met"),"Goal Met",
IF(AND(Q33=FALSE,B33="Structural"),"",
IF(ISBLANK(F33),"",
IF(H33="TBD","TBD",
IF(AND('1. Measure Selection'!$M$4=1,F33&lt;H33),"Goal Not Met",
IF(AND('1. Measure Selection'!$M$4=1,F33=H33),"Goal Met",
IF(AND('1. Measure Selection'!$M$4=1,F33&gt;H33),"Goal Exceeded",
IF(AND('1. Measure Selection'!$M$4=2,F33&lt;H33),"Goal Not Met",
IF(AND('1. Measure Selection'!$M$4=2,F33=H33),"Goal Met",
IF(AND('1. Measure Selection'!$M$4=2,F33&gt;H33),"Goal Exceeded",
""))))))))))</f>
        <v/>
      </c>
      <c r="J33" s="100" t="str">
        <f t="shared" si="13"/>
        <v/>
      </c>
      <c r="K33" s="100" t="str">
        <f t="shared" si="14"/>
        <v/>
      </c>
      <c r="L33" s="100" t="str">
        <f t="shared" si="15"/>
        <v/>
      </c>
      <c r="M33" s="119" t="str">
        <f t="shared" si="9"/>
        <v/>
      </c>
      <c r="N33" s="101" t="str">
        <f t="shared" si="12"/>
        <v/>
      </c>
      <c r="O33" s="149" t="str">
        <f t="shared" si="4"/>
        <v/>
      </c>
      <c r="P33" s="150" t="str">
        <f t="shared" si="16"/>
        <v>N/A</v>
      </c>
      <c r="Q33" s="20" t="str">
        <f>IF('1. Measure Selection'!$M$4=1,'1. Measure Selection'!L51,
IF('1. Measure Selection'!$M$4=2,'1. Measure Selection'!L51,""))</f>
        <v/>
      </c>
      <c r="R33" s="57" t="str">
        <f>IF(OR(C33=DataValTab!$F$60,C33=DataValTab!$F$61),17.5,
IF(OR(B33="Administrative",B33="eCQM"),35,
IF(B33="Structural",20,"ERROR")))</f>
        <v>ERROR</v>
      </c>
      <c r="S33" s="20" t="b">
        <f t="shared" si="5"/>
        <v>0</v>
      </c>
      <c r="T33" s="20" t="b">
        <f t="shared" si="6"/>
        <v>0</v>
      </c>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row>
    <row r="34" spans="2:45">
      <c r="B34" s="118" t="str">
        <f>IF('1. Measure Selection'!$M$4=1,DataValTab!E80,
IF('1. Measure Selection'!$M$4=2,DataValTab!K80,
""))</f>
        <v/>
      </c>
      <c r="C34" s="118" t="str">
        <f>IF('1. Measure Selection'!$M$4=1,DataValTab!$F80,
IF('1. Measure Selection'!$M$4=2,DataValTab!$L80,
""))</f>
        <v/>
      </c>
      <c r="D34" s="98"/>
      <c r="E34" s="280"/>
      <c r="F34" s="98"/>
      <c r="G34" s="280"/>
      <c r="H34" s="99" t="str">
        <f>IF('1. Measure Selection'!$M$4=1,VLOOKUP(B34&amp;C34,DataValTab!$C$49:$I$81,5,FALSE),
IF('1. Measure Selection'!$M$4=2,VLOOKUP(B34&amp;C34,DataValTab!$D$49:$M$81,10,FALSE),
""))</f>
        <v/>
      </c>
      <c r="I34" s="266" t="str">
        <f>IF(AND(Q34=TRUE,B34="Structural",F34="Measure Met"),"Goal Met",
IF(AND(Q34=FALSE,B34="Structural"),"",
IF(ISBLANK(F34),"",
IF(H34="TBD","TBD",
IF(AND('1. Measure Selection'!$M$4=1,F34&lt;H34),"Goal Not Met",
IF(AND('1. Measure Selection'!$M$4=1,F34=H34),"Goal Met",
IF(AND('1. Measure Selection'!$M$4=1,F34&gt;H34),"Goal Exceeded",
IF(AND('1. Measure Selection'!$M$4=2,F34&lt;H34),"Goal Not Met",
IF(AND('1. Measure Selection'!$M$4=2,F34=H34),"Goal Met",
IF(AND('1. Measure Selection'!$M$4=2,F34&gt;H34),"Goal Exceeded",
""))))))))))</f>
        <v/>
      </c>
      <c r="J34" s="100" t="str">
        <f t="shared" si="13"/>
        <v/>
      </c>
      <c r="K34" s="100" t="str">
        <f t="shared" si="14"/>
        <v/>
      </c>
      <c r="L34" s="100" t="str">
        <f t="shared" si="15"/>
        <v/>
      </c>
      <c r="M34" s="119" t="str">
        <f t="shared" si="9"/>
        <v/>
      </c>
      <c r="N34" s="101" t="str">
        <f t="shared" si="12"/>
        <v/>
      </c>
      <c r="O34" s="149" t="str">
        <f t="shared" si="4"/>
        <v/>
      </c>
      <c r="P34" s="150" t="str">
        <f t="shared" ref="P34" si="21">IF(ISNUMBER(M34*10),M34*10,"N/A")</f>
        <v>N/A</v>
      </c>
      <c r="Q34" s="20" t="str">
        <f>IF('1. Measure Selection'!$M$4=1,'1. Measure Selection'!L52,
IF('1. Measure Selection'!$M$4=2,'1. Measure Selection'!L52,""))</f>
        <v/>
      </c>
      <c r="R34" s="57" t="str">
        <f>IF(OR(C34=DataValTab!$F$60,C34=DataValTab!$F$61),17.5,
IF(OR(B34="Administrative",B34="eCQM"),35,
IF(B34="Structural",20,"ERROR")))</f>
        <v>ERROR</v>
      </c>
      <c r="S34" s="20" t="b">
        <f t="shared" si="5"/>
        <v>0</v>
      </c>
      <c r="T34" s="20" t="b">
        <f t="shared" si="6"/>
        <v>0</v>
      </c>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row>
    <row r="35" spans="2:45">
      <c r="B35" s="118" t="str">
        <f>IF('1. Measure Selection'!$M$4=1,DataValTab!E81,
IF('1. Measure Selection'!$M$4=2,DataValTab!K81,
""))</f>
        <v/>
      </c>
      <c r="C35" s="118" t="str">
        <f>IF('1. Measure Selection'!$M$4=1,DataValTab!$F81,
IF('1. Measure Selection'!$M$4=2,DataValTab!$L81,
""))</f>
        <v/>
      </c>
      <c r="D35" s="98"/>
      <c r="E35" s="280"/>
      <c r="F35" s="98"/>
      <c r="G35" s="280"/>
      <c r="H35" s="99" t="str">
        <f>IF('1. Measure Selection'!$M$4=1,VLOOKUP(B35&amp;C35,DataValTab!$C$49:$I$81,5,FALSE),
IF('1. Measure Selection'!$M$4=2,VLOOKUP(B35&amp;C35,DataValTab!$D$49:$M$81,10,FALSE),
""))</f>
        <v/>
      </c>
      <c r="I35" s="266" t="str">
        <f>IF(AND(Q35=TRUE,B35="Structural",F35="Measure Met"),"Goal Met",
IF(AND(Q35=FALSE,B35="Structural"),"",
IF(ISBLANK(F35),"",
IF(H35="TBD","TBD",
IF(AND('1. Measure Selection'!$M$4=1,F35&lt;H35),"Goal Not Met",
IF(AND('1. Measure Selection'!$M$4=1,F35=H35),"Goal Met",
IF(AND('1. Measure Selection'!$M$4=1,F35&gt;H35),"Goal Exceeded",
IF(AND('1. Measure Selection'!$M$4=2,F35&lt;H35),"Goal Not Met",
IF(AND('1. Measure Selection'!$M$4=2,F35=H35),"Goal Met",
IF(AND('1. Measure Selection'!$M$4=2,F35&gt;H35),"Goal Exceeded",
""))))))))))</f>
        <v/>
      </c>
      <c r="J35" s="100" t="str">
        <f t="shared" si="13"/>
        <v/>
      </c>
      <c r="K35" s="100" t="str">
        <f t="shared" si="14"/>
        <v/>
      </c>
      <c r="L35" s="100" t="str">
        <f t="shared" si="15"/>
        <v/>
      </c>
      <c r="M35" s="119" t="str">
        <f t="shared" si="9"/>
        <v/>
      </c>
      <c r="N35" s="101" t="str">
        <f t="shared" si="12"/>
        <v/>
      </c>
      <c r="O35" s="149" t="str">
        <f t="shared" si="4"/>
        <v/>
      </c>
      <c r="P35" s="150" t="str">
        <f t="shared" si="10"/>
        <v>N/A</v>
      </c>
      <c r="Q35" s="20" t="str">
        <f>IF('1. Measure Selection'!$M$4=1,'1. Measure Selection'!L53,
IF('1. Measure Selection'!$M$4=2,'1. Measure Selection'!L53,""))</f>
        <v/>
      </c>
      <c r="R35" s="57" t="str">
        <f>IF(OR(C35=DataValTab!$F$60,C35=DataValTab!$F$61),17.5,
IF(OR(B35="Administrative",B35="eCQM"),35,
IF(B35="Structural",20,"ERROR")))</f>
        <v>ERROR</v>
      </c>
      <c r="S35" s="20" t="b">
        <f t="shared" si="5"/>
        <v>0</v>
      </c>
      <c r="T35" s="20" t="b">
        <f t="shared" si="6"/>
        <v>0</v>
      </c>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row>
    <row r="36" spans="2:45" ht="15">
      <c r="B36"/>
      <c r="C36" s="145"/>
      <c r="D36" s="151"/>
      <c r="E36" s="151"/>
      <c r="F36" s="151"/>
      <c r="G36" s="151"/>
      <c r="H36" s="145"/>
      <c r="I36" s="145"/>
      <c r="J36" s="145"/>
      <c r="K36" s="145"/>
      <c r="L36" s="145"/>
      <c r="M36" s="20"/>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row>
    <row r="37" spans="2:45" ht="15">
      <c r="B37"/>
      <c r="C37" s="145"/>
      <c r="D37" s="151"/>
      <c r="E37" s="151"/>
      <c r="F37" s="151"/>
      <c r="G37" s="151"/>
      <c r="H37" s="145"/>
      <c r="I37" s="145"/>
      <c r="J37" s="145"/>
      <c r="K37" s="145"/>
      <c r="L37" s="145"/>
      <c r="M37" s="20"/>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row>
    <row r="38" spans="2:45" ht="15">
      <c r="B38"/>
      <c r="C38" s="145"/>
      <c r="D38" s="151"/>
      <c r="E38" s="151"/>
      <c r="F38" s="151"/>
      <c r="G38" s="151"/>
      <c r="H38" s="145"/>
      <c r="I38" s="145"/>
      <c r="J38" s="145"/>
      <c r="K38" s="145"/>
      <c r="L38" s="145"/>
      <c r="M38" s="20"/>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row>
    <row r="39" spans="2:45" ht="15">
      <c r="B39"/>
      <c r="C39" s="145"/>
      <c r="D39" s="151"/>
      <c r="E39" s="151"/>
      <c r="F39" s="151"/>
      <c r="G39" s="151"/>
      <c r="H39" s="145"/>
      <c r="I39" s="145"/>
      <c r="J39" s="145"/>
      <c r="K39" s="145"/>
      <c r="L39" s="145"/>
      <c r="M39" s="20"/>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row>
    <row r="40" spans="2:45" ht="15">
      <c r="B40"/>
      <c r="C40" s="145"/>
      <c r="D40" s="151"/>
      <c r="E40" s="151"/>
      <c r="F40" s="151"/>
      <c r="G40" s="151"/>
      <c r="H40" s="145"/>
      <c r="I40" s="145"/>
      <c r="J40" s="145"/>
      <c r="K40" s="145"/>
      <c r="L40" s="145"/>
      <c r="M40" s="20"/>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row>
    <row r="41" spans="2:45" ht="15">
      <c r="B41"/>
      <c r="C41" s="145"/>
      <c r="D41" s="151"/>
      <c r="E41" s="151"/>
      <c r="F41" s="151"/>
      <c r="G41" s="151"/>
      <c r="H41" s="145"/>
      <c r="I41" s="145"/>
      <c r="J41" s="145"/>
      <c r="K41" s="145"/>
      <c r="L41" s="145"/>
      <c r="M41" s="20"/>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row>
    <row r="42" spans="2:45" ht="15">
      <c r="B42"/>
      <c r="C42" s="145"/>
      <c r="D42" s="151"/>
      <c r="E42" s="151"/>
      <c r="F42" s="151"/>
      <c r="G42" s="151"/>
      <c r="H42" s="145"/>
      <c r="I42" s="145"/>
      <c r="J42" s="145"/>
      <c r="K42" s="145"/>
      <c r="L42" s="145"/>
      <c r="M42" s="20"/>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row>
    <row r="43" spans="2:45" ht="15">
      <c r="B43"/>
      <c r="C43" s="145"/>
      <c r="D43" s="151"/>
      <c r="E43" s="151"/>
      <c r="F43" s="151"/>
      <c r="G43" s="151"/>
      <c r="H43" s="145"/>
      <c r="I43" s="145"/>
      <c r="J43" s="145"/>
      <c r="K43" s="145"/>
      <c r="L43" s="145"/>
      <c r="M43" s="20"/>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row>
    <row r="44" spans="2:45" ht="15">
      <c r="B44"/>
      <c r="C44" s="145"/>
      <c r="D44" s="151"/>
      <c r="E44" s="151"/>
      <c r="F44" s="151"/>
      <c r="G44" s="151"/>
      <c r="H44" s="145"/>
      <c r="I44" s="145"/>
      <c r="J44" s="145"/>
      <c r="K44" s="145"/>
      <c r="L44" s="152"/>
      <c r="M44" s="20"/>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row>
    <row r="45" spans="2:45" ht="15">
      <c r="B45"/>
      <c r="C45" s="145"/>
      <c r="D45" s="151"/>
      <c r="E45" s="151"/>
      <c r="F45" s="151"/>
      <c r="G45" s="151"/>
      <c r="H45" s="145"/>
      <c r="I45" s="145"/>
      <c r="J45" s="145"/>
      <c r="K45" s="145"/>
      <c r="L45" s="145"/>
      <c r="M45" s="20"/>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row>
    <row r="46" spans="2:45">
      <c r="B46" s="145"/>
      <c r="C46" s="145"/>
      <c r="D46" s="151"/>
      <c r="E46" s="151"/>
      <c r="F46" s="151"/>
      <c r="G46" s="151"/>
      <c r="H46" s="145"/>
      <c r="I46" s="145"/>
      <c r="J46" s="145"/>
      <c r="K46" s="145"/>
      <c r="L46" s="145"/>
      <c r="M46" s="20"/>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row>
    <row r="47" spans="2:45">
      <c r="B47" s="145"/>
      <c r="C47" s="145"/>
      <c r="D47" s="151"/>
      <c r="E47" s="151"/>
      <c r="F47" s="151"/>
      <c r="G47" s="151"/>
      <c r="H47" s="145"/>
      <c r="I47" s="145"/>
      <c r="J47" s="145"/>
      <c r="K47" s="145"/>
      <c r="L47" s="145"/>
      <c r="M47" s="20"/>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row>
    <row r="48" spans="2:45">
      <c r="B48" s="145"/>
      <c r="C48" s="145"/>
      <c r="D48" s="151"/>
      <c r="E48" s="151"/>
      <c r="F48" s="151"/>
      <c r="G48" s="151"/>
      <c r="H48" s="145"/>
      <c r="I48" s="145"/>
      <c r="J48" s="145"/>
      <c r="K48" s="145"/>
      <c r="L48" s="145"/>
      <c r="M48" s="20"/>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row>
    <row r="49" spans="2:44">
      <c r="B49" s="145"/>
      <c r="C49" s="145"/>
      <c r="D49" s="151"/>
      <c r="E49" s="151"/>
      <c r="F49" s="151"/>
      <c r="G49" s="151"/>
      <c r="H49" s="145"/>
      <c r="I49" s="145"/>
      <c r="J49" s="145"/>
      <c r="K49" s="145"/>
      <c r="L49" s="145"/>
      <c r="M49" s="20"/>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row>
    <row r="50" spans="2:44">
      <c r="B50" s="145"/>
      <c r="C50" s="145"/>
      <c r="D50" s="151"/>
      <c r="E50" s="151"/>
      <c r="F50" s="151"/>
      <c r="G50" s="151"/>
      <c r="H50" s="145"/>
      <c r="I50" s="145"/>
      <c r="J50" s="145"/>
      <c r="K50" s="145"/>
      <c r="L50" s="145"/>
      <c r="M50" s="20"/>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row>
    <row r="51" spans="2:44">
      <c r="B51" s="145"/>
      <c r="C51" s="145"/>
      <c r="D51" s="151"/>
      <c r="E51" s="151"/>
      <c r="F51" s="151"/>
      <c r="G51" s="151"/>
      <c r="H51" s="145"/>
      <c r="I51" s="145"/>
      <c r="J51" s="145"/>
      <c r="K51" s="145"/>
      <c r="L51" s="145"/>
      <c r="M51" s="20"/>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row>
    <row r="52" spans="2:44">
      <c r="B52" s="145"/>
      <c r="C52" s="145"/>
      <c r="D52" s="151"/>
      <c r="E52" s="151"/>
      <c r="F52" s="151"/>
      <c r="G52" s="151"/>
      <c r="H52" s="145"/>
      <c r="I52" s="145"/>
      <c r="J52" s="145"/>
      <c r="K52" s="145"/>
      <c r="L52" s="145"/>
      <c r="M52" s="20"/>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row>
    <row r="53" spans="2:44">
      <c r="B53" s="145"/>
      <c r="C53" s="145"/>
      <c r="D53" s="151"/>
      <c r="E53" s="151"/>
      <c r="F53" s="151"/>
      <c r="G53" s="151"/>
      <c r="H53" s="145"/>
      <c r="I53" s="145"/>
      <c r="J53" s="145"/>
      <c r="K53" s="145"/>
      <c r="L53" s="145"/>
      <c r="M53" s="20"/>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row>
    <row r="54" spans="2:44">
      <c r="B54" s="145"/>
      <c r="C54" s="145"/>
      <c r="D54" s="151"/>
      <c r="E54" s="151"/>
      <c r="F54" s="151"/>
      <c r="G54" s="151"/>
      <c r="H54" s="145"/>
      <c r="I54" s="145"/>
      <c r="J54" s="145"/>
      <c r="K54" s="145"/>
      <c r="L54" s="145"/>
      <c r="M54" s="20"/>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row>
    <row r="55" spans="2:44">
      <c r="B55" s="145"/>
      <c r="C55" s="145"/>
      <c r="D55" s="151"/>
      <c r="E55" s="151"/>
      <c r="F55" s="151"/>
      <c r="G55" s="151"/>
      <c r="H55" s="145"/>
      <c r="I55" s="145"/>
      <c r="J55" s="145"/>
      <c r="K55" s="145"/>
      <c r="L55" s="145"/>
      <c r="M55" s="20"/>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row>
    <row r="56" spans="2:44">
      <c r="B56" s="145"/>
      <c r="C56" s="145"/>
      <c r="D56" s="151"/>
      <c r="E56" s="151"/>
      <c r="F56" s="151"/>
      <c r="G56" s="151"/>
      <c r="H56" s="145"/>
      <c r="I56" s="145"/>
      <c r="J56" s="145"/>
      <c r="K56" s="145"/>
      <c r="L56" s="145"/>
      <c r="M56" s="20"/>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row>
    <row r="57" spans="2:44">
      <c r="B57" s="145"/>
      <c r="C57" s="145"/>
      <c r="D57" s="151"/>
      <c r="E57" s="151"/>
      <c r="F57" s="151"/>
      <c r="G57" s="151"/>
      <c r="H57" s="145"/>
      <c r="I57" s="145"/>
      <c r="J57" s="145"/>
      <c r="K57" s="145"/>
      <c r="L57" s="145"/>
      <c r="M57" s="20"/>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row>
    <row r="58" spans="2:44">
      <c r="B58" s="145"/>
      <c r="C58" s="145"/>
      <c r="D58" s="151"/>
      <c r="E58" s="151"/>
      <c r="F58" s="151"/>
      <c r="G58" s="151"/>
      <c r="H58" s="145"/>
      <c r="I58" s="145"/>
      <c r="J58" s="145"/>
      <c r="K58" s="145"/>
      <c r="L58" s="145"/>
      <c r="M58" s="20"/>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row>
    <row r="59" spans="2:44">
      <c r="B59" s="145"/>
      <c r="C59" s="145"/>
      <c r="D59" s="151"/>
      <c r="E59" s="151"/>
      <c r="F59" s="151"/>
      <c r="G59" s="151"/>
      <c r="H59" s="145"/>
      <c r="I59" s="145"/>
      <c r="J59" s="145"/>
      <c r="K59" s="145"/>
      <c r="L59" s="145"/>
      <c r="M59" s="20"/>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row>
    <row r="60" spans="2:44">
      <c r="B60" s="145"/>
      <c r="C60" s="145"/>
      <c r="D60" s="151"/>
      <c r="E60" s="151"/>
      <c r="F60" s="151"/>
      <c r="G60" s="151"/>
      <c r="H60" s="145"/>
      <c r="I60" s="145"/>
      <c r="J60" s="145"/>
      <c r="K60" s="145"/>
      <c r="L60" s="145"/>
      <c r="M60" s="20"/>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row>
    <row r="61" spans="2:44">
      <c r="B61" s="145"/>
      <c r="C61" s="145"/>
      <c r="D61" s="151"/>
      <c r="E61" s="151"/>
      <c r="F61" s="151"/>
      <c r="G61" s="151"/>
      <c r="H61" s="145"/>
      <c r="I61" s="145"/>
      <c r="J61" s="145"/>
      <c r="K61" s="145"/>
      <c r="L61" s="145"/>
      <c r="M61" s="20"/>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row>
    <row r="62" spans="2:44">
      <c r="B62" s="145"/>
      <c r="C62" s="145"/>
      <c r="D62" s="151"/>
      <c r="E62" s="151"/>
      <c r="F62" s="151"/>
      <c r="G62" s="151"/>
      <c r="H62" s="145"/>
      <c r="I62" s="145"/>
      <c r="J62" s="145"/>
      <c r="K62" s="145"/>
      <c r="L62" s="145"/>
      <c r="M62" s="20"/>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row>
    <row r="63" spans="2:44">
      <c r="B63" s="145"/>
      <c r="C63" s="145"/>
      <c r="D63" s="151"/>
      <c r="E63" s="151"/>
      <c r="F63" s="151"/>
      <c r="G63" s="151"/>
      <c r="H63" s="145"/>
      <c r="I63" s="145"/>
      <c r="J63" s="145"/>
      <c r="K63" s="145"/>
      <c r="L63" s="145"/>
      <c r="M63" s="20"/>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row>
    <row r="64" spans="2:44">
      <c r="B64" s="145"/>
      <c r="C64" s="145"/>
      <c r="D64" s="151"/>
      <c r="E64" s="151"/>
      <c r="F64" s="151"/>
      <c r="G64" s="151"/>
      <c r="H64" s="145"/>
      <c r="I64" s="145"/>
      <c r="J64" s="145"/>
      <c r="K64" s="145"/>
      <c r="L64" s="145"/>
      <c r="M64" s="20"/>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row>
    <row r="65" spans="2:44">
      <c r="B65" s="145"/>
      <c r="C65" s="145"/>
      <c r="D65" s="151"/>
      <c r="E65" s="151"/>
      <c r="F65" s="151"/>
      <c r="G65" s="151"/>
      <c r="H65" s="145"/>
      <c r="I65" s="145"/>
      <c r="J65" s="145"/>
      <c r="K65" s="145"/>
      <c r="L65" s="145"/>
      <c r="M65" s="20"/>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row>
    <row r="66" spans="2:44">
      <c r="B66" s="145"/>
      <c r="C66" s="145"/>
      <c r="D66" s="151"/>
      <c r="E66" s="151"/>
      <c r="F66" s="151"/>
      <c r="G66" s="151"/>
      <c r="H66" s="145"/>
      <c r="I66" s="145"/>
      <c r="J66" s="145"/>
      <c r="K66" s="145"/>
      <c r="L66" s="145"/>
      <c r="M66" s="20"/>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row>
    <row r="67" spans="2:44">
      <c r="B67" s="145"/>
      <c r="C67" s="145"/>
      <c r="D67" s="151"/>
      <c r="E67" s="151"/>
      <c r="F67" s="151"/>
      <c r="G67" s="151"/>
      <c r="H67" s="145"/>
      <c r="I67" s="145"/>
      <c r="J67" s="145"/>
      <c r="K67" s="145"/>
      <c r="L67" s="145"/>
      <c r="M67" s="20"/>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row>
    <row r="68" spans="2:44">
      <c r="B68" s="145"/>
      <c r="C68" s="145"/>
      <c r="D68" s="151"/>
      <c r="E68" s="151"/>
      <c r="F68" s="151"/>
      <c r="G68" s="151"/>
      <c r="H68" s="145"/>
      <c r="I68" s="145"/>
      <c r="J68" s="145"/>
      <c r="K68" s="145"/>
      <c r="L68" s="145"/>
      <c r="M68" s="20"/>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row>
    <row r="69" spans="2:44">
      <c r="B69" s="145"/>
      <c r="C69" s="145"/>
      <c r="D69" s="151"/>
      <c r="E69" s="151"/>
      <c r="F69" s="151"/>
      <c r="G69" s="151"/>
      <c r="H69" s="145"/>
      <c r="I69" s="145"/>
      <c r="J69" s="145"/>
      <c r="K69" s="145"/>
      <c r="L69" s="145"/>
      <c r="M69" s="20"/>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row>
    <row r="70" spans="2:44">
      <c r="B70" s="145"/>
      <c r="C70" s="145"/>
      <c r="D70" s="151"/>
      <c r="E70" s="151"/>
      <c r="F70" s="151"/>
      <c r="G70" s="151"/>
      <c r="H70" s="145"/>
      <c r="I70" s="145"/>
      <c r="J70" s="145"/>
      <c r="K70" s="145"/>
      <c r="L70" s="145"/>
      <c r="M70" s="20"/>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row>
    <row r="71" spans="2:44">
      <c r="B71" s="145"/>
      <c r="C71" s="145"/>
      <c r="D71" s="151"/>
      <c r="E71" s="151"/>
      <c r="F71" s="151"/>
      <c r="G71" s="151"/>
      <c r="H71" s="145"/>
      <c r="I71" s="145"/>
      <c r="J71" s="145"/>
      <c r="K71" s="145"/>
      <c r="L71" s="145"/>
      <c r="M71" s="20"/>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row>
    <row r="72" spans="2:44">
      <c r="B72" s="145"/>
      <c r="C72" s="145"/>
      <c r="D72" s="151"/>
      <c r="E72" s="151"/>
      <c r="F72" s="151"/>
      <c r="G72" s="151"/>
      <c r="H72" s="145"/>
      <c r="I72" s="145"/>
      <c r="J72" s="145"/>
      <c r="K72" s="145"/>
      <c r="L72" s="145"/>
      <c r="M72" s="20"/>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row>
    <row r="73" spans="2:44">
      <c r="B73" s="145"/>
      <c r="C73" s="145"/>
      <c r="D73" s="151"/>
      <c r="E73" s="151"/>
      <c r="F73" s="151"/>
      <c r="G73" s="151"/>
      <c r="H73" s="145"/>
      <c r="I73" s="145"/>
      <c r="J73" s="145"/>
      <c r="K73" s="145"/>
      <c r="L73" s="145"/>
      <c r="M73" s="20"/>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row>
    <row r="74" spans="2:44">
      <c r="B74" s="145"/>
      <c r="C74" s="145"/>
      <c r="D74" s="151"/>
      <c r="E74" s="151"/>
      <c r="F74" s="151"/>
      <c r="G74" s="151"/>
      <c r="H74" s="145"/>
      <c r="I74" s="145"/>
      <c r="J74" s="145"/>
      <c r="K74" s="145"/>
      <c r="L74" s="145"/>
      <c r="M74" s="20"/>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row>
    <row r="75" spans="2:44">
      <c r="B75" s="145"/>
      <c r="C75" s="145"/>
      <c r="D75" s="151"/>
      <c r="E75" s="151"/>
      <c r="F75" s="151"/>
      <c r="G75" s="151"/>
      <c r="H75" s="145"/>
      <c r="I75" s="145"/>
      <c r="J75" s="145"/>
      <c r="K75" s="145"/>
      <c r="L75" s="145"/>
      <c r="M75" s="20"/>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row>
    <row r="76" spans="2:44">
      <c r="B76" s="145"/>
      <c r="C76" s="145"/>
      <c r="D76" s="151"/>
      <c r="E76" s="151"/>
      <c r="F76" s="151"/>
      <c r="G76" s="151"/>
      <c r="H76" s="145"/>
      <c r="I76" s="145"/>
      <c r="J76" s="145"/>
      <c r="K76" s="145"/>
      <c r="L76" s="145"/>
      <c r="M76" s="20"/>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row>
    <row r="77" spans="2:44">
      <c r="B77" s="145"/>
      <c r="C77" s="145"/>
      <c r="D77" s="151"/>
      <c r="E77" s="151"/>
      <c r="F77" s="151"/>
      <c r="G77" s="151"/>
      <c r="H77" s="145"/>
      <c r="I77" s="145"/>
      <c r="J77" s="145"/>
      <c r="K77" s="145"/>
      <c r="L77" s="145"/>
      <c r="M77" s="20"/>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row>
    <row r="78" spans="2:44">
      <c r="B78" s="145"/>
      <c r="C78" s="145"/>
      <c r="D78" s="151"/>
      <c r="E78" s="151"/>
      <c r="F78" s="151"/>
      <c r="G78" s="151"/>
      <c r="H78" s="145"/>
      <c r="I78" s="145"/>
      <c r="J78" s="145"/>
      <c r="K78" s="145"/>
      <c r="L78" s="145"/>
      <c r="M78" s="20"/>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row>
    <row r="79" spans="2:44">
      <c r="B79" s="145"/>
      <c r="C79" s="145"/>
      <c r="D79" s="151"/>
      <c r="E79" s="151"/>
      <c r="F79" s="151"/>
      <c r="G79" s="151"/>
      <c r="H79" s="145"/>
      <c r="I79" s="145"/>
      <c r="J79" s="145"/>
      <c r="K79" s="145"/>
      <c r="L79" s="145"/>
      <c r="M79" s="20"/>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row>
    <row r="80" spans="2:44">
      <c r="B80" s="145"/>
      <c r="C80" s="145"/>
      <c r="D80" s="151"/>
      <c r="E80" s="151"/>
      <c r="F80" s="151"/>
      <c r="G80" s="151"/>
      <c r="H80" s="145"/>
      <c r="I80" s="145"/>
      <c r="J80" s="145"/>
      <c r="K80" s="145"/>
      <c r="L80" s="145"/>
      <c r="M80" s="20"/>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row>
    <row r="81" spans="2:44">
      <c r="B81" s="145"/>
      <c r="C81" s="145"/>
      <c r="D81" s="151"/>
      <c r="E81" s="151"/>
      <c r="F81" s="151"/>
      <c r="G81" s="151"/>
      <c r="H81" s="145"/>
      <c r="I81" s="145"/>
      <c r="J81" s="145"/>
      <c r="K81" s="145"/>
      <c r="L81" s="145"/>
      <c r="M81" s="20"/>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row>
    <row r="82" spans="2:44">
      <c r="B82" s="145"/>
      <c r="C82" s="145"/>
      <c r="D82" s="151"/>
      <c r="E82" s="151"/>
      <c r="F82" s="151"/>
      <c r="G82" s="151"/>
      <c r="H82" s="145"/>
      <c r="I82" s="145"/>
      <c r="J82" s="145"/>
      <c r="K82" s="145"/>
      <c r="L82" s="145"/>
      <c r="M82" s="20"/>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row>
    <row r="83" spans="2:44">
      <c r="B83" s="145"/>
      <c r="C83" s="145"/>
      <c r="D83" s="151"/>
      <c r="E83" s="151"/>
      <c r="F83" s="151"/>
      <c r="G83" s="151"/>
      <c r="H83" s="145"/>
      <c r="I83" s="145"/>
      <c r="J83" s="145"/>
      <c r="K83" s="145"/>
      <c r="L83" s="145"/>
      <c r="M83" s="20"/>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row>
    <row r="84" spans="2:44">
      <c r="B84" s="145"/>
      <c r="C84" s="145"/>
      <c r="D84" s="151"/>
      <c r="E84" s="151"/>
      <c r="F84" s="151"/>
      <c r="G84" s="151"/>
      <c r="H84" s="145"/>
      <c r="I84" s="145"/>
      <c r="J84" s="145"/>
      <c r="K84" s="145"/>
      <c r="L84" s="145"/>
      <c r="M84" s="20"/>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row>
    <row r="85" spans="2:44">
      <c r="B85" s="145"/>
      <c r="C85" s="145"/>
      <c r="D85" s="151"/>
      <c r="E85" s="151"/>
      <c r="F85" s="151"/>
      <c r="G85" s="151"/>
      <c r="H85" s="145"/>
      <c r="I85" s="145"/>
      <c r="J85" s="145"/>
      <c r="K85" s="145"/>
      <c r="L85" s="145"/>
      <c r="M85" s="20"/>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row>
    <row r="86" spans="2:44">
      <c r="B86" s="145"/>
      <c r="C86" s="145"/>
      <c r="D86" s="151"/>
      <c r="E86" s="151"/>
      <c r="F86" s="151"/>
      <c r="G86" s="151"/>
      <c r="H86" s="145"/>
      <c r="I86" s="145"/>
      <c r="J86" s="145"/>
      <c r="K86" s="145"/>
      <c r="L86" s="145"/>
      <c r="M86" s="20"/>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row>
    <row r="87" spans="2:44">
      <c r="B87" s="145"/>
      <c r="C87" s="145"/>
      <c r="D87" s="151"/>
      <c r="E87" s="151"/>
      <c r="F87" s="151"/>
      <c r="G87" s="151"/>
      <c r="H87" s="145"/>
      <c r="I87" s="145"/>
      <c r="J87" s="145"/>
      <c r="K87" s="145"/>
      <c r="L87" s="145"/>
      <c r="M87" s="20"/>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row>
    <row r="88" spans="2:44">
      <c r="B88" s="145"/>
      <c r="C88" s="145"/>
      <c r="D88" s="151"/>
      <c r="E88" s="151"/>
      <c r="F88" s="151"/>
      <c r="G88" s="151"/>
      <c r="H88" s="145"/>
      <c r="I88" s="145"/>
      <c r="J88" s="145"/>
      <c r="K88" s="145"/>
      <c r="L88" s="145"/>
      <c r="M88" s="20"/>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row>
    <row r="89" spans="2:44">
      <c r="B89" s="145"/>
      <c r="C89" s="145"/>
      <c r="D89" s="151"/>
      <c r="E89" s="151"/>
      <c r="F89" s="151"/>
      <c r="G89" s="151"/>
      <c r="H89" s="145"/>
      <c r="I89" s="145"/>
      <c r="J89" s="145"/>
      <c r="K89" s="145"/>
      <c r="L89" s="145"/>
      <c r="M89" s="20"/>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row>
    <row r="90" spans="2:44">
      <c r="B90" s="145"/>
      <c r="C90" s="145"/>
      <c r="D90" s="151"/>
      <c r="E90" s="151"/>
      <c r="F90" s="151"/>
      <c r="G90" s="151"/>
      <c r="H90" s="145"/>
      <c r="I90" s="145"/>
      <c r="J90" s="145"/>
      <c r="K90" s="145"/>
      <c r="L90" s="145"/>
      <c r="M90" s="20"/>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row>
    <row r="91" spans="2:44">
      <c r="B91" s="145"/>
      <c r="C91" s="145"/>
      <c r="D91" s="151"/>
      <c r="E91" s="151"/>
      <c r="F91" s="151"/>
      <c r="G91" s="151"/>
      <c r="H91" s="145"/>
      <c r="I91" s="145"/>
      <c r="J91" s="145"/>
      <c r="K91" s="145"/>
      <c r="L91" s="145"/>
      <c r="M91" s="20"/>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row>
    <row r="92" spans="2:44">
      <c r="B92" s="145"/>
      <c r="C92" s="145"/>
      <c r="D92" s="151"/>
      <c r="E92" s="151"/>
      <c r="F92" s="151"/>
      <c r="G92" s="151"/>
      <c r="H92" s="145"/>
      <c r="I92" s="145"/>
      <c r="J92" s="145"/>
      <c r="K92" s="145"/>
      <c r="L92" s="145"/>
      <c r="M92" s="20"/>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row>
    <row r="93" spans="2:44">
      <c r="B93" s="145"/>
      <c r="C93" s="145"/>
      <c r="D93" s="151"/>
      <c r="E93" s="151"/>
      <c r="F93" s="151"/>
      <c r="G93" s="151"/>
      <c r="H93" s="145"/>
      <c r="I93" s="145"/>
      <c r="J93" s="145"/>
      <c r="K93" s="145"/>
      <c r="L93" s="145"/>
      <c r="M93" s="20"/>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row>
    <row r="94" spans="2:44">
      <c r="B94" s="145"/>
      <c r="C94" s="145"/>
      <c r="D94" s="151"/>
      <c r="E94" s="151"/>
      <c r="F94" s="151"/>
      <c r="G94" s="151"/>
      <c r="H94" s="145"/>
      <c r="I94" s="145"/>
      <c r="J94" s="145"/>
      <c r="K94" s="145"/>
      <c r="L94" s="145"/>
      <c r="M94" s="20"/>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row>
    <row r="95" spans="2:44">
      <c r="B95" s="145"/>
      <c r="C95" s="145"/>
      <c r="D95" s="151"/>
      <c r="E95" s="151"/>
      <c r="F95" s="151"/>
      <c r="G95" s="151"/>
      <c r="H95" s="145"/>
      <c r="I95" s="145"/>
      <c r="J95" s="145"/>
      <c r="K95" s="145"/>
      <c r="L95" s="145"/>
      <c r="M95" s="20"/>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row>
    <row r="96" spans="2:44">
      <c r="B96" s="145"/>
      <c r="C96" s="145"/>
      <c r="D96" s="151"/>
      <c r="E96" s="151"/>
      <c r="F96" s="151"/>
      <c r="G96" s="151"/>
      <c r="H96" s="145"/>
      <c r="I96" s="145"/>
      <c r="J96" s="145"/>
      <c r="K96" s="145"/>
      <c r="L96" s="145"/>
      <c r="M96" s="20"/>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row>
    <row r="97" spans="2:44">
      <c r="B97" s="145"/>
      <c r="C97" s="145"/>
      <c r="D97" s="151"/>
      <c r="E97" s="151"/>
      <c r="F97" s="151"/>
      <c r="G97" s="151"/>
      <c r="H97" s="145"/>
      <c r="I97" s="145"/>
      <c r="J97" s="145"/>
      <c r="K97" s="145"/>
      <c r="L97" s="145"/>
      <c r="M97" s="20"/>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row>
    <row r="98" spans="2:44">
      <c r="B98" s="145"/>
      <c r="C98" s="145"/>
      <c r="D98" s="151"/>
      <c r="E98" s="151"/>
      <c r="F98" s="151"/>
      <c r="G98" s="151"/>
      <c r="H98" s="145"/>
      <c r="I98" s="145"/>
      <c r="J98" s="145"/>
      <c r="K98" s="145"/>
      <c r="L98" s="145"/>
      <c r="M98" s="20"/>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row>
    <row r="99" spans="2:44">
      <c r="B99" s="145"/>
      <c r="C99" s="145"/>
      <c r="D99" s="151"/>
      <c r="E99" s="151"/>
      <c r="F99" s="151"/>
      <c r="G99" s="151"/>
      <c r="H99" s="145"/>
      <c r="I99" s="145"/>
      <c r="J99" s="145"/>
      <c r="K99" s="145"/>
      <c r="L99" s="145"/>
      <c r="M99" s="20"/>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row>
    <row r="100" spans="2:44">
      <c r="B100" s="145"/>
      <c r="C100" s="145"/>
      <c r="D100" s="151"/>
      <c r="E100" s="151"/>
      <c r="F100" s="151"/>
      <c r="G100" s="151"/>
      <c r="H100" s="145"/>
      <c r="I100" s="145"/>
      <c r="J100" s="145"/>
      <c r="K100" s="145"/>
      <c r="L100" s="145"/>
      <c r="M100" s="20"/>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row>
    <row r="101" spans="2:44">
      <c r="B101" s="145"/>
      <c r="C101" s="145"/>
      <c r="D101" s="151"/>
      <c r="E101" s="151"/>
      <c r="F101" s="151"/>
      <c r="G101" s="151"/>
      <c r="H101" s="145"/>
      <c r="I101" s="145"/>
      <c r="J101" s="145"/>
      <c r="K101" s="145"/>
      <c r="L101" s="145"/>
      <c r="M101" s="20"/>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row>
    <row r="102" spans="2:44">
      <c r="B102" s="145"/>
      <c r="C102" s="145"/>
      <c r="D102" s="151"/>
      <c r="E102" s="151"/>
      <c r="F102" s="151"/>
      <c r="G102" s="151"/>
      <c r="H102" s="145"/>
      <c r="I102" s="145"/>
      <c r="J102" s="145"/>
      <c r="K102" s="145"/>
      <c r="L102" s="145"/>
      <c r="M102" s="20"/>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row>
    <row r="103" spans="2:44">
      <c r="B103" s="145"/>
      <c r="C103" s="145"/>
      <c r="D103" s="151"/>
      <c r="E103" s="151"/>
      <c r="F103" s="151"/>
      <c r="G103" s="151"/>
      <c r="H103" s="145"/>
      <c r="I103" s="145"/>
      <c r="J103" s="145"/>
      <c r="K103" s="145"/>
      <c r="L103" s="145"/>
      <c r="M103" s="20"/>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row>
    <row r="104" spans="2:44">
      <c r="B104" s="145"/>
      <c r="C104" s="145"/>
      <c r="D104" s="151"/>
      <c r="E104" s="151"/>
      <c r="F104" s="151"/>
      <c r="G104" s="151"/>
      <c r="H104" s="145"/>
      <c r="I104" s="145"/>
      <c r="J104" s="145"/>
      <c r="K104" s="145"/>
      <c r="L104" s="145"/>
      <c r="M104" s="20"/>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row>
    <row r="105" spans="2:44">
      <c r="B105" s="145"/>
      <c r="C105" s="145"/>
      <c r="D105" s="151"/>
      <c r="E105" s="151"/>
      <c r="F105" s="151"/>
      <c r="G105" s="151"/>
      <c r="H105" s="145"/>
      <c r="I105" s="145"/>
      <c r="J105" s="145"/>
      <c r="K105" s="145"/>
      <c r="L105" s="145"/>
      <c r="M105" s="20"/>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row>
    <row r="106" spans="2:44">
      <c r="B106" s="145"/>
      <c r="C106" s="145"/>
      <c r="D106" s="151"/>
      <c r="E106" s="151"/>
      <c r="F106" s="151"/>
      <c r="G106" s="151"/>
      <c r="H106" s="145"/>
      <c r="I106" s="145"/>
      <c r="J106" s="145"/>
      <c r="K106" s="145"/>
      <c r="L106" s="145"/>
      <c r="M106" s="20"/>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row>
    <row r="107" spans="2:44">
      <c r="B107" s="145"/>
      <c r="C107" s="145"/>
      <c r="D107" s="151"/>
      <c r="E107" s="151"/>
      <c r="F107" s="151"/>
      <c r="G107" s="151"/>
      <c r="H107" s="145"/>
      <c r="I107" s="145"/>
      <c r="J107" s="145"/>
      <c r="K107" s="145"/>
      <c r="L107" s="145"/>
      <c r="M107" s="20"/>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row>
    <row r="108" spans="2:44">
      <c r="B108" s="145"/>
      <c r="C108" s="145"/>
      <c r="D108" s="151"/>
      <c r="E108" s="151"/>
      <c r="F108" s="151"/>
      <c r="G108" s="151"/>
      <c r="H108" s="145"/>
      <c r="I108" s="145"/>
      <c r="J108" s="145"/>
      <c r="K108" s="145"/>
      <c r="L108" s="145"/>
      <c r="M108" s="20"/>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row>
    <row r="109" spans="2:44">
      <c r="B109" s="145"/>
      <c r="C109" s="145"/>
      <c r="D109" s="151"/>
      <c r="E109" s="151"/>
      <c r="F109" s="151"/>
      <c r="G109" s="151"/>
      <c r="H109" s="145"/>
      <c r="I109" s="145"/>
      <c r="J109" s="145"/>
      <c r="K109" s="145"/>
      <c r="L109" s="145"/>
      <c r="M109" s="20"/>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row>
    <row r="110" spans="2:44">
      <c r="B110" s="145"/>
      <c r="C110" s="145"/>
      <c r="D110" s="151"/>
      <c r="E110" s="151"/>
      <c r="F110" s="151"/>
      <c r="G110" s="151"/>
      <c r="H110" s="145"/>
      <c r="I110" s="145"/>
      <c r="J110" s="145"/>
      <c r="K110" s="145"/>
      <c r="L110" s="145"/>
      <c r="M110" s="20"/>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row>
    <row r="111" spans="2:44">
      <c r="B111" s="145"/>
      <c r="C111" s="145"/>
      <c r="D111" s="151"/>
      <c r="E111" s="151"/>
      <c r="F111" s="151"/>
      <c r="G111" s="151"/>
      <c r="H111" s="145"/>
      <c r="I111" s="145"/>
      <c r="J111" s="145"/>
      <c r="K111" s="145"/>
      <c r="L111" s="145"/>
      <c r="M111" s="20"/>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row>
    <row r="112" spans="2:44">
      <c r="B112" s="145"/>
      <c r="C112" s="145"/>
      <c r="D112" s="151"/>
      <c r="E112" s="151"/>
      <c r="F112" s="151"/>
      <c r="G112" s="151"/>
      <c r="H112" s="145"/>
      <c r="I112" s="145"/>
      <c r="J112" s="145"/>
      <c r="K112" s="145"/>
      <c r="L112" s="145"/>
      <c r="M112" s="20"/>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row>
    <row r="113" spans="2:44">
      <c r="B113" s="145"/>
      <c r="C113" s="145"/>
      <c r="D113" s="151"/>
      <c r="E113" s="151"/>
      <c r="F113" s="151"/>
      <c r="G113" s="151"/>
      <c r="H113" s="145"/>
      <c r="I113" s="145"/>
      <c r="J113" s="145"/>
      <c r="K113" s="145"/>
      <c r="L113" s="145"/>
      <c r="M113" s="20"/>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row>
    <row r="114" spans="2:44">
      <c r="B114" s="145"/>
      <c r="C114" s="145"/>
      <c r="D114" s="151"/>
      <c r="E114" s="151"/>
      <c r="F114" s="151"/>
      <c r="G114" s="151"/>
      <c r="H114" s="145"/>
      <c r="I114" s="145"/>
      <c r="J114" s="145"/>
      <c r="K114" s="145"/>
      <c r="L114" s="145"/>
      <c r="M114" s="20"/>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row>
    <row r="115" spans="2:44">
      <c r="B115" s="145"/>
      <c r="C115" s="145"/>
      <c r="D115" s="151"/>
      <c r="E115" s="151"/>
      <c r="F115" s="151"/>
      <c r="G115" s="151"/>
      <c r="H115" s="145"/>
      <c r="I115" s="145"/>
      <c r="J115" s="145"/>
      <c r="K115" s="145"/>
      <c r="L115" s="145"/>
      <c r="M115" s="20"/>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row>
    <row r="116" spans="2:44">
      <c r="B116" s="145"/>
      <c r="C116" s="145"/>
      <c r="D116" s="151"/>
      <c r="E116" s="151"/>
      <c r="F116" s="151"/>
      <c r="G116" s="151"/>
      <c r="H116" s="145"/>
      <c r="I116" s="145"/>
      <c r="J116" s="145"/>
      <c r="K116" s="145"/>
      <c r="L116" s="145"/>
      <c r="M116" s="20"/>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row>
    <row r="117" spans="2:44">
      <c r="B117" s="145"/>
      <c r="C117" s="145"/>
      <c r="D117" s="151"/>
      <c r="E117" s="151"/>
      <c r="F117" s="151"/>
      <c r="G117" s="151"/>
      <c r="H117" s="145"/>
      <c r="I117" s="145"/>
      <c r="J117" s="145"/>
      <c r="K117" s="145"/>
      <c r="L117" s="145"/>
      <c r="M117" s="20"/>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row>
    <row r="118" spans="2:44">
      <c r="B118" s="145"/>
      <c r="C118" s="145"/>
      <c r="D118" s="151"/>
      <c r="E118" s="151"/>
      <c r="F118" s="151"/>
      <c r="G118" s="151"/>
      <c r="H118" s="145"/>
      <c r="I118" s="145"/>
      <c r="J118" s="145"/>
      <c r="K118" s="145"/>
      <c r="L118" s="145"/>
      <c r="M118" s="20"/>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row>
    <row r="119" spans="2:44">
      <c r="B119" s="145"/>
      <c r="C119" s="145"/>
      <c r="D119" s="151"/>
      <c r="E119" s="151"/>
      <c r="F119" s="151"/>
      <c r="G119" s="151"/>
      <c r="H119" s="145"/>
      <c r="I119" s="145"/>
      <c r="J119" s="145"/>
      <c r="K119" s="145"/>
      <c r="L119" s="145"/>
      <c r="M119" s="20"/>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row>
    <row r="120" spans="2:44">
      <c r="B120" s="145"/>
      <c r="C120" s="145"/>
      <c r="D120" s="151"/>
      <c r="E120" s="151"/>
      <c r="F120" s="151"/>
      <c r="G120" s="151"/>
      <c r="H120" s="145"/>
      <c r="I120" s="145"/>
      <c r="J120" s="145"/>
      <c r="K120" s="145"/>
      <c r="L120" s="145"/>
      <c r="M120" s="20"/>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row>
    <row r="121" spans="2:44">
      <c r="B121" s="145"/>
      <c r="C121" s="145"/>
      <c r="D121" s="151"/>
      <c r="E121" s="151"/>
      <c r="F121" s="151"/>
      <c r="G121" s="151"/>
      <c r="H121" s="145"/>
      <c r="I121" s="145"/>
      <c r="J121" s="145"/>
      <c r="K121" s="145"/>
      <c r="L121" s="145"/>
      <c r="M121" s="20"/>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row>
    <row r="122" spans="2:44">
      <c r="B122" s="145"/>
      <c r="C122" s="145"/>
      <c r="D122" s="151"/>
      <c r="E122" s="151"/>
      <c r="F122" s="151"/>
      <c r="G122" s="151"/>
      <c r="H122" s="145"/>
      <c r="I122" s="145"/>
      <c r="J122" s="145"/>
      <c r="K122" s="145"/>
      <c r="L122" s="145"/>
      <c r="M122" s="20"/>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row>
    <row r="123" spans="2:44">
      <c r="B123" s="145"/>
      <c r="C123" s="145"/>
      <c r="D123" s="151"/>
      <c r="E123" s="151"/>
      <c r="F123" s="151"/>
      <c r="G123" s="151"/>
      <c r="H123" s="145"/>
      <c r="I123" s="145"/>
      <c r="J123" s="145"/>
      <c r="K123" s="145"/>
      <c r="L123" s="145"/>
      <c r="M123" s="20"/>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row>
    <row r="124" spans="2:44">
      <c r="B124" s="145"/>
      <c r="C124" s="145"/>
      <c r="D124" s="151"/>
      <c r="E124" s="151"/>
      <c r="F124" s="151"/>
      <c r="G124" s="151"/>
      <c r="H124" s="145"/>
      <c r="I124" s="145"/>
      <c r="J124" s="145"/>
      <c r="K124" s="145"/>
      <c r="L124" s="145"/>
      <c r="M124" s="20"/>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row>
    <row r="125" spans="2:44">
      <c r="B125" s="145"/>
      <c r="C125" s="145"/>
      <c r="D125" s="151"/>
      <c r="E125" s="151"/>
      <c r="F125" s="151"/>
      <c r="G125" s="151"/>
      <c r="H125" s="145"/>
      <c r="I125" s="145"/>
      <c r="J125" s="145"/>
      <c r="K125" s="145"/>
      <c r="L125" s="145"/>
      <c r="M125" s="20"/>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row>
    <row r="126" spans="2:44">
      <c r="B126" s="145"/>
      <c r="C126" s="145"/>
      <c r="D126" s="151"/>
      <c r="E126" s="151"/>
      <c r="F126" s="151"/>
      <c r="G126" s="151"/>
      <c r="H126" s="145"/>
      <c r="I126" s="145"/>
      <c r="J126" s="145"/>
      <c r="K126" s="145"/>
      <c r="L126" s="145"/>
      <c r="M126" s="20"/>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row>
    <row r="127" spans="2:44">
      <c r="B127" s="145"/>
      <c r="C127" s="145"/>
      <c r="D127" s="151"/>
      <c r="E127" s="151"/>
      <c r="F127" s="151"/>
      <c r="G127" s="151"/>
      <c r="H127" s="145"/>
      <c r="I127" s="145"/>
      <c r="J127" s="145"/>
      <c r="K127" s="145"/>
      <c r="L127" s="145"/>
      <c r="M127" s="20"/>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row>
    <row r="128" spans="2:44">
      <c r="B128" s="145"/>
      <c r="C128" s="145"/>
      <c r="D128" s="151"/>
      <c r="E128" s="151"/>
      <c r="F128" s="151"/>
      <c r="G128" s="151"/>
      <c r="H128" s="145"/>
      <c r="I128" s="145"/>
      <c r="J128" s="145"/>
      <c r="K128" s="145"/>
      <c r="L128" s="145"/>
      <c r="M128" s="20"/>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row>
    <row r="129" spans="2:44">
      <c r="B129" s="145"/>
      <c r="C129" s="145"/>
      <c r="D129" s="151"/>
      <c r="E129" s="151"/>
      <c r="F129" s="151"/>
      <c r="G129" s="151"/>
      <c r="H129" s="145"/>
      <c r="I129" s="145"/>
      <c r="J129" s="145"/>
      <c r="K129" s="145"/>
      <c r="L129" s="145"/>
      <c r="M129" s="20"/>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row>
    <row r="130" spans="2:44">
      <c r="B130" s="145"/>
      <c r="C130" s="145"/>
      <c r="D130" s="151"/>
      <c r="E130" s="151"/>
      <c r="F130" s="151"/>
      <c r="G130" s="151"/>
      <c r="H130" s="145"/>
      <c r="I130" s="145"/>
      <c r="J130" s="145"/>
      <c r="K130" s="145"/>
      <c r="L130" s="145"/>
      <c r="M130" s="20"/>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row>
    <row r="131" spans="2:44">
      <c r="B131" s="145"/>
      <c r="C131" s="145"/>
      <c r="D131" s="151"/>
      <c r="E131" s="151"/>
      <c r="F131" s="151"/>
      <c r="G131" s="151"/>
      <c r="H131" s="145"/>
      <c r="I131" s="145"/>
      <c r="J131" s="145"/>
      <c r="K131" s="145"/>
      <c r="L131" s="145"/>
      <c r="M131" s="20"/>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row>
    <row r="132" spans="2:44">
      <c r="B132" s="145"/>
      <c r="C132" s="145"/>
      <c r="D132" s="151"/>
      <c r="E132" s="151"/>
      <c r="F132" s="151"/>
      <c r="G132" s="151"/>
      <c r="H132" s="145"/>
      <c r="I132" s="145"/>
      <c r="J132" s="145"/>
      <c r="K132" s="145"/>
      <c r="L132" s="145"/>
      <c r="M132" s="20"/>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row>
    <row r="133" spans="2:44">
      <c r="B133" s="145"/>
      <c r="C133" s="145"/>
      <c r="D133" s="151"/>
      <c r="E133" s="151"/>
      <c r="F133" s="151"/>
      <c r="G133" s="151"/>
      <c r="H133" s="145"/>
      <c r="I133" s="145"/>
      <c r="J133" s="145"/>
      <c r="K133" s="145"/>
      <c r="L133" s="145"/>
      <c r="M133" s="20"/>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row>
    <row r="134" spans="2:44">
      <c r="B134" s="145"/>
      <c r="C134" s="145"/>
      <c r="D134" s="151"/>
      <c r="E134" s="151"/>
      <c r="F134" s="151"/>
      <c r="G134" s="151"/>
      <c r="H134" s="145"/>
      <c r="I134" s="145"/>
      <c r="J134" s="145"/>
      <c r="K134" s="145"/>
      <c r="L134" s="145"/>
      <c r="M134" s="20"/>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row>
    <row r="135" spans="2:44">
      <c r="B135" s="145"/>
      <c r="C135" s="145"/>
      <c r="D135" s="151"/>
      <c r="E135" s="151"/>
      <c r="F135" s="151"/>
      <c r="G135" s="151"/>
      <c r="H135" s="145"/>
      <c r="I135" s="145"/>
      <c r="J135" s="145"/>
      <c r="K135" s="145"/>
      <c r="L135" s="145"/>
      <c r="M135" s="20"/>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row>
    <row r="136" spans="2:44">
      <c r="B136" s="145"/>
      <c r="C136" s="145"/>
      <c r="D136" s="151"/>
      <c r="E136" s="151"/>
      <c r="F136" s="151"/>
      <c r="G136" s="151"/>
      <c r="H136" s="145"/>
      <c r="I136" s="145"/>
      <c r="J136" s="145"/>
      <c r="K136" s="145"/>
      <c r="L136" s="145"/>
      <c r="M136" s="20"/>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row>
    <row r="137" spans="2:44">
      <c r="B137" s="145"/>
      <c r="C137" s="145"/>
      <c r="D137" s="151"/>
      <c r="E137" s="151"/>
      <c r="F137" s="151"/>
      <c r="G137" s="151"/>
      <c r="H137" s="145"/>
      <c r="I137" s="145"/>
      <c r="J137" s="145"/>
      <c r="K137" s="145"/>
      <c r="L137" s="145"/>
      <c r="M137" s="20"/>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row>
    <row r="138" spans="2:44">
      <c r="B138" s="145"/>
      <c r="C138" s="145"/>
      <c r="D138" s="151"/>
      <c r="E138" s="151"/>
      <c r="F138" s="151"/>
      <c r="G138" s="151"/>
      <c r="H138" s="145"/>
      <c r="I138" s="145"/>
      <c r="J138" s="145"/>
      <c r="K138" s="145"/>
      <c r="L138" s="145"/>
      <c r="M138" s="20"/>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row>
    <row r="139" spans="2:44">
      <c r="B139" s="145"/>
      <c r="C139" s="145"/>
      <c r="D139" s="151"/>
      <c r="E139" s="151"/>
      <c r="F139" s="151"/>
      <c r="G139" s="151"/>
      <c r="H139" s="145"/>
      <c r="I139" s="145"/>
      <c r="J139" s="145"/>
      <c r="K139" s="145"/>
      <c r="L139" s="145"/>
      <c r="M139" s="20"/>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row>
    <row r="140" spans="2:44">
      <c r="B140" s="145"/>
      <c r="C140" s="145"/>
      <c r="D140" s="151"/>
      <c r="E140" s="151"/>
      <c r="F140" s="151"/>
      <c r="G140" s="151"/>
      <c r="H140" s="145"/>
      <c r="I140" s="145"/>
      <c r="J140" s="145"/>
      <c r="K140" s="145"/>
      <c r="L140" s="145"/>
      <c r="M140" s="20"/>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row>
    <row r="141" spans="2:44">
      <c r="B141" s="145"/>
      <c r="C141" s="145"/>
      <c r="D141" s="151"/>
      <c r="E141" s="151"/>
      <c r="F141" s="151"/>
      <c r="G141" s="151"/>
      <c r="H141" s="145"/>
      <c r="I141" s="145"/>
      <c r="J141" s="145"/>
      <c r="K141" s="145"/>
      <c r="L141" s="145"/>
      <c r="M141" s="20"/>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row>
    <row r="142" spans="2:44">
      <c r="B142" s="145"/>
      <c r="C142" s="145"/>
      <c r="D142" s="151"/>
      <c r="E142" s="151"/>
      <c r="F142" s="151"/>
      <c r="G142" s="151"/>
      <c r="H142" s="145"/>
      <c r="I142" s="145"/>
      <c r="J142" s="145"/>
      <c r="K142" s="145"/>
      <c r="L142" s="145"/>
      <c r="M142" s="20"/>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row>
    <row r="143" spans="2:44">
      <c r="B143" s="145"/>
      <c r="C143" s="145"/>
      <c r="D143" s="151"/>
      <c r="E143" s="151"/>
      <c r="F143" s="151"/>
      <c r="G143" s="151"/>
      <c r="H143" s="145"/>
      <c r="I143" s="145"/>
      <c r="J143" s="145"/>
      <c r="K143" s="145"/>
      <c r="L143" s="145"/>
      <c r="M143" s="20"/>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row>
    <row r="144" spans="2:44">
      <c r="B144" s="145"/>
      <c r="C144" s="145"/>
      <c r="D144" s="151"/>
      <c r="E144" s="151"/>
      <c r="F144" s="151"/>
      <c r="G144" s="151"/>
      <c r="H144" s="145"/>
      <c r="I144" s="145"/>
      <c r="J144" s="145"/>
      <c r="K144" s="145"/>
      <c r="L144" s="145"/>
      <c r="M144" s="20"/>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row>
    <row r="145" spans="2:44">
      <c r="B145" s="145"/>
      <c r="C145" s="145"/>
      <c r="D145" s="151"/>
      <c r="E145" s="151"/>
      <c r="F145" s="151"/>
      <c r="G145" s="151"/>
      <c r="H145" s="145"/>
      <c r="I145" s="145"/>
      <c r="J145" s="145"/>
      <c r="K145" s="145"/>
      <c r="L145" s="145"/>
      <c r="M145" s="20"/>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row>
    <row r="146" spans="2:44">
      <c r="B146" s="145"/>
      <c r="C146" s="145"/>
      <c r="D146" s="151"/>
      <c r="E146" s="151"/>
      <c r="F146" s="151"/>
      <c r="G146" s="151"/>
      <c r="H146" s="145"/>
      <c r="I146" s="145"/>
      <c r="J146" s="145"/>
      <c r="K146" s="145"/>
      <c r="L146" s="145"/>
      <c r="M146" s="20"/>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row>
    <row r="147" spans="2:44">
      <c r="B147" s="145"/>
      <c r="C147" s="145"/>
      <c r="D147" s="151"/>
      <c r="E147" s="151"/>
      <c r="F147" s="151"/>
      <c r="G147" s="151"/>
      <c r="H147" s="145"/>
      <c r="I147" s="145"/>
      <c r="J147" s="145"/>
      <c r="K147" s="145"/>
      <c r="L147" s="145"/>
      <c r="M147" s="20"/>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row>
    <row r="148" spans="2:44">
      <c r="B148" s="145"/>
      <c r="C148" s="145"/>
      <c r="D148" s="151"/>
      <c r="E148" s="151"/>
      <c r="F148" s="151"/>
      <c r="G148" s="151"/>
      <c r="H148" s="145"/>
      <c r="I148" s="145"/>
      <c r="J148" s="145"/>
      <c r="K148" s="145"/>
      <c r="L148" s="145"/>
      <c r="M148" s="20"/>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row>
    <row r="149" spans="2:44">
      <c r="B149" s="145"/>
      <c r="C149" s="145"/>
      <c r="D149" s="151"/>
      <c r="E149" s="151"/>
      <c r="F149" s="151"/>
      <c r="G149" s="151"/>
      <c r="H149" s="145"/>
      <c r="I149" s="145"/>
      <c r="J149" s="145"/>
      <c r="K149" s="145"/>
      <c r="L149" s="145"/>
      <c r="M149" s="20"/>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row>
    <row r="150" spans="2:44">
      <c r="B150" s="145"/>
      <c r="C150" s="145"/>
      <c r="D150" s="151"/>
      <c r="E150" s="151"/>
      <c r="F150" s="151"/>
      <c r="G150" s="151"/>
      <c r="H150" s="145"/>
      <c r="I150" s="145"/>
      <c r="J150" s="145"/>
      <c r="K150" s="145"/>
      <c r="L150" s="145"/>
      <c r="M150" s="20"/>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row>
    <row r="151" spans="2:44">
      <c r="B151" s="145"/>
      <c r="C151" s="145"/>
      <c r="D151" s="151"/>
      <c r="E151" s="151"/>
      <c r="F151" s="151"/>
      <c r="G151" s="151"/>
      <c r="H151" s="145"/>
      <c r="I151" s="145"/>
      <c r="J151" s="145"/>
      <c r="K151" s="145"/>
      <c r="L151" s="145"/>
      <c r="M151" s="20"/>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row>
    <row r="152" spans="2:44">
      <c r="B152" s="145"/>
      <c r="C152" s="145"/>
      <c r="D152" s="151"/>
      <c r="E152" s="151"/>
      <c r="F152" s="151"/>
      <c r="G152" s="151"/>
      <c r="H152" s="145"/>
      <c r="I152" s="145"/>
      <c r="J152" s="145"/>
      <c r="K152" s="145"/>
      <c r="L152" s="145"/>
      <c r="M152" s="20"/>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row>
    <row r="153" spans="2:44">
      <c r="B153" s="145"/>
      <c r="C153" s="145"/>
      <c r="D153" s="151"/>
      <c r="E153" s="151"/>
      <c r="F153" s="151"/>
      <c r="G153" s="151"/>
      <c r="H153" s="145"/>
      <c r="I153" s="145"/>
      <c r="J153" s="145"/>
      <c r="K153" s="145"/>
      <c r="L153" s="145"/>
      <c r="M153" s="20"/>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row>
    <row r="154" spans="2:44">
      <c r="B154" s="145"/>
      <c r="C154" s="145"/>
      <c r="D154" s="151"/>
      <c r="E154" s="151"/>
      <c r="F154" s="151"/>
      <c r="G154" s="151"/>
      <c r="H154" s="145"/>
      <c r="I154" s="145"/>
      <c r="J154" s="145"/>
      <c r="K154" s="145"/>
      <c r="L154" s="145"/>
      <c r="M154" s="20"/>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row>
    <row r="155" spans="2:44">
      <c r="B155" s="145"/>
      <c r="C155" s="145"/>
      <c r="D155" s="151"/>
      <c r="E155" s="151"/>
      <c r="F155" s="151"/>
      <c r="G155" s="151"/>
      <c r="H155" s="145"/>
      <c r="I155" s="145"/>
      <c r="J155" s="145"/>
      <c r="K155" s="145"/>
      <c r="L155" s="145"/>
      <c r="M155" s="20"/>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row>
    <row r="156" spans="2:44">
      <c r="B156" s="145"/>
      <c r="C156" s="145"/>
      <c r="D156" s="151"/>
      <c r="E156" s="151"/>
      <c r="F156" s="151"/>
      <c r="G156" s="151"/>
      <c r="H156" s="145"/>
      <c r="I156" s="145"/>
      <c r="J156" s="145"/>
      <c r="K156" s="145"/>
      <c r="L156" s="145"/>
      <c r="M156" s="20"/>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row>
    <row r="157" spans="2:44">
      <c r="B157" s="145"/>
      <c r="C157" s="145"/>
      <c r="D157" s="151"/>
      <c r="E157" s="151"/>
      <c r="F157" s="151"/>
      <c r="G157" s="151"/>
      <c r="H157" s="145"/>
      <c r="I157" s="145"/>
      <c r="J157" s="145"/>
      <c r="K157" s="145"/>
      <c r="L157" s="145"/>
      <c r="M157" s="20"/>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row>
    <row r="158" spans="2:44">
      <c r="B158" s="145"/>
      <c r="C158" s="145"/>
      <c r="D158" s="151"/>
      <c r="E158" s="151"/>
      <c r="F158" s="151"/>
      <c r="G158" s="151"/>
      <c r="H158" s="145"/>
      <c r="I158" s="145"/>
      <c r="J158" s="145"/>
      <c r="K158" s="145"/>
      <c r="L158" s="145"/>
      <c r="M158" s="20"/>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row>
    <row r="159" spans="2:44">
      <c r="B159" s="145"/>
      <c r="C159" s="145"/>
      <c r="D159" s="151"/>
      <c r="E159" s="151"/>
      <c r="F159" s="151"/>
      <c r="G159" s="151"/>
      <c r="H159" s="145"/>
      <c r="I159" s="145"/>
      <c r="J159" s="145"/>
      <c r="K159" s="145"/>
      <c r="L159" s="145"/>
      <c r="M159" s="20"/>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row>
    <row r="160" spans="2:44">
      <c r="B160" s="145"/>
      <c r="C160" s="145"/>
      <c r="D160" s="151"/>
      <c r="E160" s="151"/>
      <c r="F160" s="151"/>
      <c r="G160" s="151"/>
      <c r="H160" s="145"/>
      <c r="I160" s="145"/>
      <c r="J160" s="145"/>
      <c r="K160" s="145"/>
      <c r="L160" s="145"/>
      <c r="M160" s="20"/>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row>
    <row r="161" spans="2:44">
      <c r="B161" s="145"/>
      <c r="C161" s="145"/>
      <c r="D161" s="151"/>
      <c r="E161" s="151"/>
      <c r="F161" s="151"/>
      <c r="G161" s="151"/>
      <c r="H161" s="145"/>
      <c r="I161" s="145"/>
      <c r="J161" s="145"/>
      <c r="K161" s="145"/>
      <c r="L161" s="145"/>
      <c r="M161" s="20"/>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row>
    <row r="162" spans="2:44">
      <c r="B162" s="145"/>
      <c r="C162" s="145"/>
      <c r="D162" s="151"/>
      <c r="E162" s="151"/>
      <c r="F162" s="151"/>
      <c r="G162" s="151"/>
      <c r="H162" s="145"/>
      <c r="I162" s="145"/>
      <c r="J162" s="145"/>
      <c r="K162" s="145"/>
      <c r="L162" s="145"/>
      <c r="M162" s="20"/>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row>
    <row r="163" spans="2:44">
      <c r="B163" s="145"/>
      <c r="C163" s="145"/>
      <c r="D163" s="151"/>
      <c r="E163" s="151"/>
      <c r="F163" s="151"/>
      <c r="G163" s="151"/>
      <c r="H163" s="145"/>
      <c r="I163" s="145"/>
      <c r="J163" s="145"/>
      <c r="K163" s="145"/>
      <c r="L163" s="145"/>
      <c r="M163" s="20"/>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row>
    <row r="164" spans="2:44">
      <c r="B164" s="145"/>
      <c r="C164" s="145"/>
      <c r="D164" s="151"/>
      <c r="E164" s="151"/>
      <c r="F164" s="151"/>
      <c r="G164" s="151"/>
      <c r="H164" s="145"/>
      <c r="I164" s="145"/>
      <c r="J164" s="145"/>
      <c r="K164" s="145"/>
      <c r="L164" s="145"/>
      <c r="M164" s="20"/>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row>
    <row r="165" spans="2:44">
      <c r="B165" s="145"/>
      <c r="C165" s="145"/>
      <c r="D165" s="151"/>
      <c r="E165" s="151"/>
      <c r="F165" s="151"/>
      <c r="G165" s="151"/>
      <c r="H165" s="145"/>
      <c r="I165" s="145"/>
      <c r="J165" s="145"/>
      <c r="K165" s="145"/>
      <c r="L165" s="145"/>
      <c r="M165" s="20"/>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row>
    <row r="166" spans="2:44">
      <c r="B166" s="145"/>
      <c r="C166" s="145"/>
      <c r="D166" s="151"/>
      <c r="E166" s="151"/>
      <c r="F166" s="151"/>
      <c r="G166" s="151"/>
      <c r="H166" s="145"/>
      <c r="I166" s="145"/>
      <c r="J166" s="145"/>
      <c r="K166" s="145"/>
      <c r="L166" s="145"/>
      <c r="M166" s="20"/>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row>
    <row r="167" spans="2:44">
      <c r="B167" s="145"/>
      <c r="C167" s="145"/>
      <c r="D167" s="151"/>
      <c r="E167" s="151"/>
      <c r="F167" s="151"/>
      <c r="G167" s="151"/>
      <c r="H167" s="145"/>
      <c r="I167" s="145"/>
      <c r="J167" s="145"/>
      <c r="K167" s="145"/>
      <c r="L167" s="145"/>
      <c r="M167" s="20"/>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row>
    <row r="168" spans="2:44">
      <c r="B168" s="145"/>
      <c r="C168" s="145"/>
      <c r="D168" s="151"/>
      <c r="E168" s="151"/>
      <c r="F168" s="151"/>
      <c r="G168" s="151"/>
      <c r="H168" s="145"/>
      <c r="I168" s="145"/>
      <c r="J168" s="145"/>
      <c r="K168" s="145"/>
      <c r="L168" s="145"/>
      <c r="M168" s="20"/>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row>
    <row r="169" spans="2:44">
      <c r="B169" s="145"/>
      <c r="C169" s="145"/>
      <c r="D169" s="151"/>
      <c r="E169" s="151"/>
      <c r="F169" s="151"/>
      <c r="G169" s="151"/>
      <c r="H169" s="145"/>
      <c r="I169" s="145"/>
      <c r="J169" s="145"/>
      <c r="K169" s="145"/>
      <c r="L169" s="145"/>
      <c r="M169" s="20"/>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row>
    <row r="170" spans="2:44">
      <c r="B170" s="145"/>
      <c r="C170" s="145"/>
      <c r="D170" s="151"/>
      <c r="E170" s="151"/>
      <c r="F170" s="151"/>
      <c r="G170" s="151"/>
      <c r="H170" s="145"/>
      <c r="I170" s="145"/>
      <c r="J170" s="145"/>
      <c r="K170" s="145"/>
      <c r="L170" s="145"/>
      <c r="M170" s="20"/>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row>
    <row r="171" spans="2:44">
      <c r="B171" s="145"/>
      <c r="C171" s="145"/>
      <c r="D171" s="151"/>
      <c r="E171" s="151"/>
      <c r="F171" s="151"/>
      <c r="G171" s="151"/>
      <c r="H171" s="145"/>
      <c r="I171" s="145"/>
      <c r="J171" s="145"/>
      <c r="K171" s="145"/>
      <c r="L171" s="145"/>
      <c r="M171" s="20"/>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row>
    <row r="172" spans="2:44">
      <c r="B172" s="145"/>
      <c r="C172" s="145"/>
      <c r="D172" s="151"/>
      <c r="E172" s="151"/>
      <c r="F172" s="151"/>
      <c r="G172" s="151"/>
      <c r="H172" s="145"/>
      <c r="I172" s="145"/>
      <c r="J172" s="145"/>
      <c r="K172" s="145"/>
      <c r="L172" s="145"/>
      <c r="M172" s="20"/>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row>
    <row r="173" spans="2:44">
      <c r="B173" s="145"/>
      <c r="C173" s="145"/>
      <c r="D173" s="151"/>
      <c r="E173" s="151"/>
      <c r="F173" s="151"/>
      <c r="G173" s="151"/>
      <c r="H173" s="145"/>
      <c r="I173" s="145"/>
      <c r="J173" s="145"/>
      <c r="K173" s="145"/>
      <c r="L173" s="145"/>
      <c r="M173" s="20"/>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row>
    <row r="174" spans="2:44">
      <c r="B174" s="145"/>
      <c r="C174" s="145"/>
      <c r="D174" s="151"/>
      <c r="E174" s="151"/>
      <c r="F174" s="151"/>
      <c r="G174" s="151"/>
      <c r="H174" s="145"/>
      <c r="I174" s="145"/>
      <c r="J174" s="145"/>
      <c r="K174" s="145"/>
      <c r="L174" s="145"/>
      <c r="M174" s="20"/>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row>
    <row r="175" spans="2:44">
      <c r="B175" s="145"/>
      <c r="C175" s="145"/>
      <c r="D175" s="151"/>
      <c r="E175" s="151"/>
      <c r="F175" s="151"/>
      <c r="G175" s="151"/>
      <c r="H175" s="145"/>
      <c r="I175" s="145"/>
      <c r="J175" s="145"/>
      <c r="K175" s="145"/>
      <c r="L175" s="145"/>
      <c r="M175" s="20"/>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row>
    <row r="176" spans="2:44">
      <c r="B176" s="145"/>
      <c r="C176" s="145"/>
      <c r="D176" s="151"/>
      <c r="E176" s="151"/>
      <c r="F176" s="151"/>
      <c r="G176" s="151"/>
      <c r="H176" s="145"/>
      <c r="I176" s="145"/>
      <c r="J176" s="145"/>
      <c r="K176" s="145"/>
      <c r="L176" s="145"/>
      <c r="M176" s="20"/>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row>
    <row r="177" spans="2:44">
      <c r="B177" s="145"/>
      <c r="C177" s="145"/>
      <c r="D177" s="151"/>
      <c r="E177" s="151"/>
      <c r="F177" s="151"/>
      <c r="G177" s="151"/>
      <c r="H177" s="145"/>
      <c r="I177" s="145"/>
      <c r="J177" s="145"/>
      <c r="K177" s="145"/>
      <c r="L177" s="145"/>
      <c r="M177" s="20"/>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row>
    <row r="178" spans="2:44">
      <c r="B178" s="145"/>
      <c r="C178" s="145"/>
      <c r="D178" s="151"/>
      <c r="E178" s="151"/>
      <c r="F178" s="151"/>
      <c r="G178" s="151"/>
      <c r="H178" s="145"/>
      <c r="I178" s="145"/>
      <c r="J178" s="145"/>
      <c r="K178" s="145"/>
      <c r="L178" s="145"/>
      <c r="M178" s="20"/>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row>
    <row r="179" spans="2:44">
      <c r="B179" s="145"/>
      <c r="C179" s="145"/>
      <c r="D179" s="151"/>
      <c r="E179" s="151"/>
      <c r="F179" s="151"/>
      <c r="G179" s="151"/>
      <c r="H179" s="145"/>
      <c r="I179" s="145"/>
      <c r="J179" s="145"/>
      <c r="K179" s="145"/>
      <c r="L179" s="145"/>
      <c r="M179" s="20"/>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row>
    <row r="180" spans="2:44">
      <c r="B180" s="145"/>
      <c r="C180" s="145"/>
      <c r="D180" s="151"/>
      <c r="E180" s="151"/>
      <c r="F180" s="151"/>
      <c r="G180" s="151"/>
      <c r="H180" s="145"/>
      <c r="I180" s="145"/>
      <c r="J180" s="145"/>
      <c r="K180" s="145"/>
      <c r="L180" s="145"/>
      <c r="M180" s="20"/>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row>
    <row r="181" spans="2:44">
      <c r="B181" s="145"/>
      <c r="C181" s="145"/>
      <c r="D181" s="151"/>
      <c r="E181" s="151"/>
      <c r="F181" s="151"/>
      <c r="G181" s="151"/>
      <c r="H181" s="145"/>
      <c r="I181" s="145"/>
      <c r="J181" s="145"/>
      <c r="K181" s="145"/>
      <c r="L181" s="145"/>
      <c r="M181" s="20"/>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row>
    <row r="182" spans="2:44">
      <c r="B182" s="145"/>
      <c r="C182" s="145"/>
      <c r="D182" s="151"/>
      <c r="E182" s="151"/>
      <c r="F182" s="151"/>
      <c r="G182" s="151"/>
      <c r="H182" s="145"/>
      <c r="I182" s="145"/>
      <c r="J182" s="145"/>
      <c r="K182" s="145"/>
      <c r="L182" s="145"/>
      <c r="M182" s="20"/>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row>
    <row r="183" spans="2:44">
      <c r="B183" s="145"/>
      <c r="C183" s="145"/>
      <c r="D183" s="151"/>
      <c r="E183" s="151"/>
      <c r="F183" s="151"/>
      <c r="G183" s="151"/>
      <c r="H183" s="145"/>
      <c r="I183" s="145"/>
      <c r="J183" s="145"/>
      <c r="K183" s="145"/>
      <c r="L183" s="145"/>
      <c r="M183" s="20"/>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row>
    <row r="184" spans="2:44">
      <c r="B184" s="145"/>
      <c r="C184" s="145"/>
      <c r="D184" s="151"/>
      <c r="E184" s="151"/>
      <c r="F184" s="151"/>
      <c r="G184" s="151"/>
      <c r="H184" s="145"/>
      <c r="I184" s="145"/>
      <c r="J184" s="145"/>
      <c r="K184" s="145"/>
      <c r="L184" s="145"/>
      <c r="M184" s="20"/>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row>
    <row r="185" spans="2:44">
      <c r="B185" s="145"/>
      <c r="C185" s="145"/>
      <c r="D185" s="151"/>
      <c r="E185" s="151"/>
      <c r="F185" s="151"/>
      <c r="G185" s="151"/>
      <c r="H185" s="145"/>
      <c r="I185" s="145"/>
      <c r="J185" s="145"/>
      <c r="K185" s="145"/>
      <c r="L185" s="145"/>
      <c r="M185" s="20"/>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row>
    <row r="186" spans="2:44">
      <c r="B186" s="145"/>
      <c r="C186" s="145"/>
      <c r="D186" s="151"/>
      <c r="E186" s="151"/>
      <c r="F186" s="151"/>
      <c r="G186" s="151"/>
      <c r="H186" s="145"/>
      <c r="I186" s="145"/>
      <c r="J186" s="145"/>
      <c r="K186" s="145"/>
      <c r="L186" s="145"/>
      <c r="M186" s="20"/>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row>
    <row r="187" spans="2:44">
      <c r="B187" s="145"/>
      <c r="C187" s="145"/>
      <c r="D187" s="151"/>
      <c r="E187" s="151"/>
      <c r="F187" s="151"/>
      <c r="G187" s="151"/>
      <c r="H187" s="145"/>
      <c r="I187" s="145"/>
      <c r="J187" s="145"/>
      <c r="K187" s="145"/>
      <c r="L187" s="145"/>
      <c r="M187" s="20"/>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row>
    <row r="188" spans="2:44">
      <c r="B188" s="145"/>
      <c r="C188" s="145"/>
      <c r="D188" s="151"/>
      <c r="E188" s="151"/>
      <c r="F188" s="151"/>
      <c r="G188" s="151"/>
      <c r="H188" s="145"/>
      <c r="I188" s="145"/>
      <c r="J188" s="145"/>
      <c r="K188" s="145"/>
      <c r="L188" s="145"/>
      <c r="M188" s="20"/>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row>
    <row r="189" spans="2:44">
      <c r="B189" s="145"/>
      <c r="C189" s="145"/>
      <c r="D189" s="151"/>
      <c r="E189" s="151"/>
      <c r="F189" s="151"/>
      <c r="G189" s="151"/>
      <c r="H189" s="145"/>
      <c r="I189" s="145"/>
      <c r="J189" s="145"/>
      <c r="K189" s="145"/>
      <c r="L189" s="145"/>
      <c r="M189" s="20"/>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row>
    <row r="190" spans="2:44">
      <c r="B190" s="145"/>
      <c r="C190" s="145"/>
      <c r="D190" s="151"/>
      <c r="E190" s="151"/>
      <c r="F190" s="151"/>
      <c r="G190" s="151"/>
      <c r="H190" s="145"/>
      <c r="I190" s="145"/>
      <c r="J190" s="145"/>
      <c r="K190" s="145"/>
      <c r="L190" s="145"/>
      <c r="M190" s="20"/>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row>
    <row r="191" spans="2:44">
      <c r="B191" s="145"/>
      <c r="C191" s="145"/>
      <c r="D191" s="151"/>
      <c r="E191" s="151"/>
      <c r="F191" s="151"/>
      <c r="G191" s="151"/>
      <c r="H191" s="145"/>
      <c r="I191" s="145"/>
      <c r="J191" s="145"/>
      <c r="K191" s="145"/>
      <c r="L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row>
    <row r="192" spans="2:44">
      <c r="B192" s="145"/>
      <c r="C192" s="145"/>
      <c r="D192" s="151"/>
      <c r="E192" s="151"/>
      <c r="F192" s="151"/>
      <c r="G192" s="151"/>
      <c r="H192" s="145"/>
      <c r="I192" s="145"/>
      <c r="J192" s="145"/>
      <c r="K192" s="145"/>
      <c r="L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row>
    <row r="193" spans="2:44">
      <c r="B193" s="145"/>
      <c r="C193" s="145"/>
      <c r="D193" s="151"/>
      <c r="E193" s="151"/>
      <c r="F193" s="151"/>
      <c r="G193" s="151"/>
      <c r="H193" s="145"/>
      <c r="I193" s="145"/>
      <c r="J193" s="145"/>
      <c r="K193" s="145"/>
      <c r="L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row>
    <row r="194" spans="2:44">
      <c r="B194" s="145"/>
      <c r="C194" s="145"/>
      <c r="D194" s="151"/>
      <c r="E194" s="151"/>
      <c r="F194" s="151"/>
      <c r="G194" s="151"/>
      <c r="H194" s="145"/>
      <c r="I194" s="145"/>
      <c r="J194" s="145"/>
      <c r="K194" s="145"/>
      <c r="L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row>
    <row r="195" spans="2:44">
      <c r="B195" s="145"/>
      <c r="C195" s="145"/>
      <c r="D195" s="151"/>
      <c r="E195" s="151"/>
      <c r="F195" s="151"/>
      <c r="G195" s="151"/>
      <c r="H195" s="145"/>
      <c r="I195" s="145"/>
      <c r="J195" s="145"/>
      <c r="K195" s="145"/>
      <c r="L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row>
    <row r="196" spans="2:44">
      <c r="B196" s="145"/>
      <c r="C196" s="145"/>
      <c r="D196" s="151"/>
      <c r="E196" s="151"/>
      <c r="F196" s="151"/>
      <c r="G196" s="151"/>
      <c r="H196" s="145"/>
      <c r="I196" s="145"/>
      <c r="J196" s="145"/>
      <c r="K196" s="145"/>
      <c r="L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row>
    <row r="197" spans="2:44">
      <c r="B197" s="145"/>
      <c r="C197" s="145"/>
      <c r="D197" s="151"/>
      <c r="E197" s="151"/>
      <c r="F197" s="151"/>
      <c r="G197" s="151"/>
      <c r="H197" s="145"/>
      <c r="I197" s="145"/>
      <c r="J197" s="145"/>
      <c r="K197" s="145"/>
      <c r="L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row>
    <row r="198" spans="2:44">
      <c r="B198" s="145"/>
      <c r="C198" s="145"/>
      <c r="D198" s="151"/>
      <c r="E198" s="151"/>
      <c r="F198" s="151"/>
      <c r="G198" s="151"/>
      <c r="H198" s="145"/>
      <c r="I198" s="145"/>
      <c r="J198" s="145"/>
      <c r="K198" s="145"/>
      <c r="L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row>
    <row r="199" spans="2:44">
      <c r="B199" s="145"/>
      <c r="C199" s="145"/>
      <c r="D199" s="151"/>
      <c r="E199" s="151"/>
      <c r="F199" s="151"/>
      <c r="G199" s="151"/>
      <c r="H199" s="145"/>
      <c r="I199" s="145"/>
      <c r="J199" s="145"/>
      <c r="K199" s="145"/>
      <c r="L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row>
    <row r="200" spans="2:44">
      <c r="B200" s="145"/>
      <c r="C200" s="145"/>
      <c r="D200" s="151"/>
      <c r="E200" s="151"/>
      <c r="F200" s="151"/>
      <c r="G200" s="151"/>
      <c r="H200" s="145"/>
      <c r="I200" s="145"/>
      <c r="J200" s="145"/>
      <c r="K200" s="145"/>
      <c r="L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row>
    <row r="201" spans="2:44">
      <c r="B201" s="145"/>
      <c r="C201" s="145"/>
      <c r="D201" s="151"/>
      <c r="E201" s="151"/>
      <c r="F201" s="151"/>
      <c r="G201" s="151"/>
      <c r="H201" s="145"/>
      <c r="I201" s="145"/>
      <c r="J201" s="145"/>
      <c r="K201" s="145"/>
      <c r="L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row>
    <row r="202" spans="2:44">
      <c r="B202" s="145"/>
      <c r="C202" s="145"/>
      <c r="D202" s="151"/>
      <c r="E202" s="151"/>
      <c r="F202" s="151"/>
      <c r="G202" s="151"/>
      <c r="H202" s="145"/>
      <c r="I202" s="145"/>
      <c r="J202" s="145"/>
      <c r="K202" s="145"/>
      <c r="L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row>
    <row r="203" spans="2:44">
      <c r="B203" s="145"/>
      <c r="C203" s="145"/>
      <c r="D203" s="151"/>
      <c r="E203" s="151"/>
      <c r="F203" s="151"/>
      <c r="G203" s="151"/>
      <c r="H203" s="145"/>
      <c r="I203" s="145"/>
      <c r="J203" s="145"/>
      <c r="K203" s="145"/>
      <c r="L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row>
    <row r="204" spans="2:44">
      <c r="B204" s="145"/>
      <c r="C204" s="145"/>
      <c r="D204" s="151"/>
      <c r="E204" s="151"/>
      <c r="F204" s="151"/>
      <c r="G204" s="151"/>
      <c r="H204" s="145"/>
      <c r="I204" s="145"/>
      <c r="J204" s="145"/>
      <c r="K204" s="145"/>
      <c r="L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row>
    <row r="205" spans="2:44">
      <c r="B205" s="145"/>
      <c r="C205" s="145"/>
      <c r="D205" s="151"/>
      <c r="E205" s="151"/>
      <c r="F205" s="151"/>
      <c r="G205" s="151"/>
      <c r="H205" s="145"/>
      <c r="I205" s="145"/>
      <c r="J205" s="145"/>
      <c r="K205" s="145"/>
      <c r="L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row>
    <row r="206" spans="2:44">
      <c r="B206" s="145"/>
      <c r="C206" s="145"/>
      <c r="D206" s="151"/>
      <c r="E206" s="151"/>
      <c r="F206" s="151"/>
      <c r="G206" s="151"/>
      <c r="H206" s="145"/>
      <c r="I206" s="145"/>
      <c r="J206" s="145"/>
      <c r="K206" s="145"/>
      <c r="L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row>
    <row r="207" spans="2:44">
      <c r="B207" s="145"/>
      <c r="C207" s="145"/>
      <c r="D207" s="151"/>
      <c r="E207" s="151"/>
      <c r="F207" s="151"/>
      <c r="G207" s="151"/>
      <c r="H207" s="145"/>
      <c r="I207" s="145"/>
      <c r="J207" s="145"/>
      <c r="K207" s="145"/>
      <c r="L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row>
    <row r="208" spans="2:44">
      <c r="B208" s="145"/>
      <c r="C208" s="145"/>
      <c r="D208" s="151"/>
      <c r="E208" s="151"/>
      <c r="F208" s="151"/>
      <c r="G208" s="151"/>
      <c r="H208" s="145"/>
      <c r="I208" s="145"/>
      <c r="J208" s="145"/>
      <c r="K208" s="145"/>
      <c r="L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row>
    <row r="209" spans="2:44">
      <c r="B209" s="145"/>
      <c r="C209" s="145"/>
      <c r="D209" s="151"/>
      <c r="E209" s="151"/>
      <c r="F209" s="151"/>
      <c r="G209" s="151"/>
      <c r="H209" s="145"/>
      <c r="I209" s="145"/>
      <c r="J209" s="145"/>
      <c r="K209" s="145"/>
      <c r="L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row>
    <row r="210" spans="2:44">
      <c r="B210" s="145"/>
      <c r="C210" s="145"/>
      <c r="D210" s="151"/>
      <c r="E210" s="151"/>
      <c r="F210" s="151"/>
      <c r="G210" s="151"/>
      <c r="H210" s="145"/>
      <c r="I210" s="145"/>
      <c r="J210" s="145"/>
      <c r="K210" s="145"/>
      <c r="L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row>
    <row r="211" spans="2:44">
      <c r="B211" s="145"/>
      <c r="C211" s="145"/>
      <c r="D211" s="151"/>
      <c r="E211" s="151"/>
      <c r="F211" s="151"/>
      <c r="G211" s="151"/>
      <c r="H211" s="145"/>
      <c r="I211" s="145"/>
      <c r="J211" s="145"/>
      <c r="K211" s="145"/>
      <c r="L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row>
    <row r="212" spans="2:44">
      <c r="B212" s="145"/>
      <c r="C212" s="145"/>
      <c r="D212" s="151"/>
      <c r="E212" s="151"/>
      <c r="F212" s="151"/>
      <c r="G212" s="151"/>
      <c r="H212" s="145"/>
      <c r="I212" s="145"/>
      <c r="J212" s="145"/>
      <c r="K212" s="145"/>
      <c r="L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row>
    <row r="213" spans="2:44">
      <c r="B213" s="145"/>
      <c r="C213" s="145"/>
      <c r="D213" s="151"/>
      <c r="E213" s="151"/>
      <c r="F213" s="151"/>
      <c r="G213" s="151"/>
      <c r="H213" s="145"/>
      <c r="I213" s="145"/>
      <c r="J213" s="145"/>
      <c r="K213" s="145"/>
      <c r="L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row>
    <row r="214" spans="2:44">
      <c r="B214" s="145"/>
      <c r="C214" s="145"/>
      <c r="D214" s="151"/>
      <c r="E214" s="151"/>
      <c r="F214" s="151"/>
      <c r="G214" s="151"/>
      <c r="H214" s="145"/>
      <c r="I214" s="145"/>
      <c r="J214" s="145"/>
      <c r="K214" s="145"/>
      <c r="L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row>
    <row r="215" spans="2:44">
      <c r="B215" s="145"/>
      <c r="C215" s="145"/>
      <c r="D215" s="151"/>
      <c r="E215" s="151"/>
      <c r="F215" s="151"/>
      <c r="G215" s="151"/>
      <c r="H215" s="145"/>
      <c r="I215" s="145"/>
      <c r="J215" s="145"/>
      <c r="K215" s="145"/>
      <c r="L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row>
    <row r="216" spans="2:44">
      <c r="B216" s="145"/>
      <c r="C216" s="145"/>
      <c r="D216" s="151"/>
      <c r="E216" s="151"/>
      <c r="F216" s="151"/>
      <c r="G216" s="151"/>
      <c r="H216" s="145"/>
      <c r="I216" s="145"/>
      <c r="J216" s="145"/>
      <c r="K216" s="145"/>
      <c r="L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row>
    <row r="217" spans="2:44">
      <c r="B217" s="145"/>
      <c r="C217" s="145"/>
      <c r="D217" s="151"/>
      <c r="E217" s="151"/>
      <c r="F217" s="151"/>
      <c r="G217" s="151"/>
      <c r="H217" s="145"/>
      <c r="I217" s="145"/>
      <c r="J217" s="145"/>
      <c r="K217" s="145"/>
      <c r="L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row>
    <row r="218" spans="2:44">
      <c r="B218" s="145"/>
      <c r="C218" s="145"/>
      <c r="D218" s="151"/>
      <c r="E218" s="151"/>
      <c r="F218" s="151"/>
      <c r="G218" s="151"/>
      <c r="H218" s="145"/>
      <c r="I218" s="145"/>
      <c r="J218" s="145"/>
      <c r="K218" s="145"/>
      <c r="L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row>
    <row r="219" spans="2:44">
      <c r="B219" s="145"/>
      <c r="C219" s="145"/>
      <c r="D219" s="151"/>
      <c r="E219" s="151"/>
      <c r="F219" s="151"/>
      <c r="G219" s="151"/>
      <c r="H219" s="145"/>
      <c r="I219" s="145"/>
      <c r="J219" s="145"/>
      <c r="K219" s="145"/>
      <c r="L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row>
    <row r="220" spans="2:44">
      <c r="B220" s="145"/>
      <c r="C220" s="145"/>
      <c r="D220" s="151"/>
      <c r="E220" s="151"/>
      <c r="F220" s="151"/>
      <c r="G220" s="151"/>
      <c r="H220" s="145"/>
      <c r="I220" s="145"/>
      <c r="J220" s="145"/>
      <c r="K220" s="145"/>
      <c r="L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row>
    <row r="221" spans="2:44">
      <c r="B221" s="145"/>
      <c r="C221" s="145"/>
      <c r="D221" s="151"/>
      <c r="E221" s="151"/>
      <c r="F221" s="151"/>
      <c r="G221" s="151"/>
      <c r="H221" s="145"/>
      <c r="I221" s="145"/>
      <c r="J221" s="145"/>
      <c r="K221" s="145"/>
      <c r="L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row>
    <row r="222" spans="2:44">
      <c r="B222" s="145"/>
      <c r="C222" s="145"/>
      <c r="D222" s="151"/>
      <c r="E222" s="151"/>
      <c r="F222" s="151"/>
      <c r="G222" s="151"/>
      <c r="H222" s="145"/>
      <c r="I222" s="145"/>
      <c r="J222" s="145"/>
      <c r="K222" s="145"/>
      <c r="L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row>
    <row r="223" spans="2:44">
      <c r="B223" s="145"/>
      <c r="C223" s="145"/>
      <c r="D223" s="151"/>
      <c r="E223" s="151"/>
      <c r="F223" s="151"/>
      <c r="G223" s="151"/>
      <c r="H223" s="145"/>
      <c r="I223" s="145"/>
      <c r="J223" s="145"/>
      <c r="K223" s="145"/>
      <c r="L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row>
    <row r="224" spans="2:44">
      <c r="B224" s="145"/>
      <c r="C224" s="145"/>
      <c r="D224" s="151"/>
      <c r="E224" s="151"/>
      <c r="F224" s="151"/>
      <c r="G224" s="151"/>
      <c r="H224" s="145"/>
      <c r="I224" s="145"/>
      <c r="J224" s="145"/>
      <c r="K224" s="145"/>
      <c r="L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row>
    <row r="225" spans="2:44">
      <c r="B225" s="145"/>
      <c r="C225" s="145"/>
      <c r="D225" s="151"/>
      <c r="E225" s="151"/>
      <c r="F225" s="151"/>
      <c r="G225" s="151"/>
      <c r="H225" s="145"/>
      <c r="I225" s="145"/>
      <c r="J225" s="145"/>
      <c r="K225" s="145"/>
      <c r="L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row>
    <row r="226" spans="2:44">
      <c r="B226" s="145"/>
      <c r="C226" s="145"/>
      <c r="D226" s="151"/>
      <c r="E226" s="151"/>
      <c r="F226" s="151"/>
      <c r="G226" s="151"/>
      <c r="H226" s="145"/>
      <c r="I226" s="145"/>
      <c r="J226" s="145"/>
      <c r="K226" s="145"/>
      <c r="L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row>
    <row r="227" spans="2:44">
      <c r="B227" s="145"/>
      <c r="C227" s="145"/>
      <c r="D227" s="151"/>
      <c r="E227" s="151"/>
      <c r="F227" s="151"/>
      <c r="G227" s="151"/>
      <c r="H227" s="145"/>
      <c r="I227" s="145"/>
      <c r="J227" s="145"/>
      <c r="K227" s="145"/>
      <c r="L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row>
    <row r="228" spans="2:44">
      <c r="B228" s="145"/>
      <c r="C228" s="145"/>
      <c r="D228" s="151"/>
      <c r="E228" s="151"/>
      <c r="F228" s="151"/>
      <c r="G228" s="151"/>
      <c r="H228" s="145"/>
      <c r="I228" s="145"/>
      <c r="J228" s="145"/>
      <c r="K228" s="145"/>
      <c r="L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row>
    <row r="229" spans="2:44">
      <c r="B229" s="145"/>
      <c r="C229" s="145"/>
      <c r="D229" s="151"/>
      <c r="E229" s="151"/>
      <c r="F229" s="151"/>
      <c r="G229" s="151"/>
      <c r="H229" s="145"/>
      <c r="I229" s="145"/>
      <c r="J229" s="145"/>
      <c r="K229" s="145"/>
      <c r="L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row>
    <row r="230" spans="2:44">
      <c r="B230" s="145"/>
      <c r="C230" s="145"/>
      <c r="D230" s="151"/>
      <c r="E230" s="151"/>
      <c r="F230" s="151"/>
      <c r="G230" s="151"/>
      <c r="H230" s="145"/>
      <c r="I230" s="145"/>
      <c r="J230" s="145"/>
      <c r="K230" s="145"/>
      <c r="L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row>
    <row r="231" spans="2:44">
      <c r="B231" s="145"/>
      <c r="C231" s="145"/>
      <c r="D231" s="151"/>
      <c r="E231" s="151"/>
      <c r="F231" s="151"/>
      <c r="G231" s="151"/>
      <c r="H231" s="145"/>
      <c r="I231" s="145"/>
      <c r="J231" s="145"/>
      <c r="K231" s="145"/>
      <c r="L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row>
    <row r="232" spans="2:44">
      <c r="B232" s="145"/>
      <c r="C232" s="145"/>
      <c r="D232" s="151"/>
      <c r="E232" s="151"/>
      <c r="F232" s="151"/>
      <c r="G232" s="151"/>
      <c r="H232" s="145"/>
      <c r="I232" s="145"/>
      <c r="J232" s="145"/>
      <c r="K232" s="145"/>
      <c r="L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row>
    <row r="233" spans="2:44">
      <c r="B233" s="145"/>
      <c r="C233" s="145"/>
      <c r="D233" s="151"/>
      <c r="E233" s="151"/>
      <c r="F233" s="151"/>
      <c r="G233" s="151"/>
      <c r="H233" s="145"/>
      <c r="I233" s="145"/>
      <c r="J233" s="145"/>
      <c r="K233" s="145"/>
      <c r="L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row>
    <row r="234" spans="2:44">
      <c r="B234" s="145"/>
      <c r="C234" s="145"/>
      <c r="D234" s="151"/>
      <c r="E234" s="151"/>
      <c r="F234" s="151"/>
      <c r="G234" s="151"/>
      <c r="H234" s="145"/>
      <c r="I234" s="145"/>
      <c r="J234" s="145"/>
      <c r="K234" s="145"/>
      <c r="L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row>
    <row r="235" spans="2:44">
      <c r="B235" s="145"/>
      <c r="C235" s="145"/>
      <c r="D235" s="151"/>
      <c r="E235" s="151"/>
      <c r="F235" s="151"/>
      <c r="G235" s="151"/>
      <c r="H235" s="145"/>
      <c r="I235" s="145"/>
      <c r="J235" s="145"/>
      <c r="K235" s="145"/>
      <c r="L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row>
    <row r="236" spans="2:44">
      <c r="B236" s="145"/>
      <c r="C236" s="145"/>
      <c r="D236" s="151"/>
      <c r="E236" s="151"/>
      <c r="F236" s="151"/>
      <c r="G236" s="151"/>
      <c r="H236" s="145"/>
      <c r="I236" s="145"/>
      <c r="J236" s="145"/>
      <c r="K236" s="145"/>
      <c r="L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row>
    <row r="237" spans="2:44">
      <c r="B237" s="145"/>
      <c r="C237" s="145"/>
      <c r="D237" s="151"/>
      <c r="E237" s="151"/>
      <c r="F237" s="151"/>
      <c r="G237" s="151"/>
      <c r="H237" s="145"/>
      <c r="I237" s="145"/>
      <c r="J237" s="145"/>
      <c r="K237" s="145"/>
      <c r="L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row>
    <row r="238" spans="2:44">
      <c r="B238" s="145"/>
      <c r="C238" s="145"/>
      <c r="D238" s="151"/>
      <c r="E238" s="151"/>
      <c r="F238" s="151"/>
      <c r="G238" s="151"/>
      <c r="H238" s="145"/>
      <c r="I238" s="145"/>
      <c r="J238" s="145"/>
      <c r="K238" s="145"/>
      <c r="L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row>
    <row r="239" spans="2:44">
      <c r="B239" s="145"/>
      <c r="C239" s="145"/>
      <c r="D239" s="151"/>
      <c r="E239" s="151"/>
      <c r="F239" s="151"/>
      <c r="G239" s="151"/>
      <c r="H239" s="145"/>
      <c r="I239" s="145"/>
      <c r="J239" s="145"/>
      <c r="K239" s="145"/>
      <c r="L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row>
    <row r="240" spans="2:44">
      <c r="B240" s="145"/>
      <c r="C240" s="145"/>
      <c r="D240" s="151"/>
      <c r="E240" s="151"/>
      <c r="F240" s="151"/>
      <c r="G240" s="151"/>
      <c r="H240" s="145"/>
      <c r="I240" s="145"/>
      <c r="J240" s="145"/>
      <c r="K240" s="145"/>
      <c r="L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row>
    <row r="241" spans="2:44">
      <c r="B241" s="145"/>
      <c r="C241" s="145"/>
      <c r="D241" s="151"/>
      <c r="E241" s="151"/>
      <c r="F241" s="151"/>
      <c r="G241" s="151"/>
      <c r="H241" s="145"/>
      <c r="I241" s="145"/>
      <c r="J241" s="145"/>
      <c r="K241" s="145"/>
      <c r="L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row>
    <row r="242" spans="2:44">
      <c r="B242" s="145"/>
      <c r="C242" s="145"/>
      <c r="D242" s="151"/>
      <c r="E242" s="151"/>
      <c r="F242" s="151"/>
      <c r="G242" s="151"/>
      <c r="H242" s="145"/>
      <c r="I242" s="145"/>
      <c r="J242" s="145"/>
      <c r="K242" s="145"/>
      <c r="L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row>
    <row r="243" spans="2:44">
      <c r="B243" s="145"/>
      <c r="C243" s="145"/>
      <c r="D243" s="151"/>
      <c r="E243" s="151"/>
      <c r="F243" s="151"/>
      <c r="G243" s="151"/>
      <c r="H243" s="145"/>
      <c r="I243" s="145"/>
      <c r="J243" s="145"/>
      <c r="K243" s="145"/>
      <c r="L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row>
    <row r="244" spans="2:44">
      <c r="B244" s="145"/>
      <c r="C244" s="145"/>
      <c r="D244" s="151"/>
      <c r="E244" s="151"/>
      <c r="F244" s="151"/>
      <c r="G244" s="151"/>
      <c r="H244" s="145"/>
      <c r="I244" s="145"/>
      <c r="J244" s="145"/>
      <c r="K244" s="145"/>
      <c r="L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row>
    <row r="245" spans="2:44">
      <c r="B245" s="145"/>
      <c r="C245" s="145"/>
      <c r="D245" s="151"/>
      <c r="E245" s="151"/>
      <c r="F245" s="151"/>
      <c r="G245" s="151"/>
      <c r="H245" s="145"/>
      <c r="I245" s="145"/>
      <c r="J245" s="145"/>
      <c r="K245" s="145"/>
      <c r="L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row>
    <row r="246" spans="2:44">
      <c r="B246" s="145"/>
      <c r="C246" s="145"/>
      <c r="D246" s="151"/>
      <c r="E246" s="151"/>
      <c r="F246" s="151"/>
      <c r="G246" s="151"/>
      <c r="H246" s="145"/>
      <c r="I246" s="145"/>
      <c r="J246" s="145"/>
      <c r="K246" s="145"/>
      <c r="L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row>
    <row r="247" spans="2:44">
      <c r="B247" s="145"/>
      <c r="C247" s="145"/>
      <c r="D247" s="151"/>
      <c r="E247" s="151"/>
      <c r="F247" s="151"/>
      <c r="G247" s="151"/>
      <c r="H247" s="145"/>
      <c r="I247" s="145"/>
      <c r="J247" s="145"/>
      <c r="K247" s="145"/>
      <c r="L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row>
    <row r="248" spans="2:44">
      <c r="B248" s="145"/>
      <c r="C248" s="145"/>
      <c r="D248" s="151"/>
      <c r="E248" s="151"/>
      <c r="F248" s="151"/>
      <c r="G248" s="151"/>
      <c r="H248" s="145"/>
      <c r="I248" s="145"/>
      <c r="J248" s="145"/>
      <c r="K248" s="145"/>
      <c r="L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row>
    <row r="249" spans="2:44">
      <c r="B249" s="145"/>
      <c r="C249" s="145"/>
      <c r="D249" s="151"/>
      <c r="E249" s="151"/>
      <c r="F249" s="151"/>
      <c r="G249" s="151"/>
      <c r="H249" s="145"/>
      <c r="I249" s="145"/>
      <c r="J249" s="145"/>
      <c r="K249" s="145"/>
      <c r="L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row>
    <row r="250" spans="2:44">
      <c r="B250" s="145"/>
      <c r="C250" s="145"/>
      <c r="D250" s="151"/>
      <c r="E250" s="151"/>
      <c r="F250" s="151"/>
      <c r="G250" s="151"/>
      <c r="H250" s="145"/>
      <c r="I250" s="145"/>
      <c r="J250" s="145"/>
      <c r="K250" s="145"/>
      <c r="L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row>
    <row r="251" spans="2:44">
      <c r="B251" s="145"/>
      <c r="C251" s="145"/>
      <c r="D251" s="151"/>
      <c r="E251" s="151"/>
      <c r="F251" s="151"/>
      <c r="G251" s="151"/>
      <c r="H251" s="145"/>
      <c r="I251" s="145"/>
      <c r="J251" s="145"/>
      <c r="K251" s="145"/>
      <c r="L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row>
    <row r="252" spans="2:44">
      <c r="B252" s="145"/>
      <c r="C252" s="145"/>
      <c r="D252" s="151"/>
      <c r="E252" s="151"/>
      <c r="F252" s="151"/>
      <c r="G252" s="151"/>
      <c r="H252" s="145"/>
      <c r="I252" s="145"/>
      <c r="J252" s="145"/>
      <c r="K252" s="145"/>
      <c r="L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row>
    <row r="253" spans="2:44">
      <c r="B253" s="145"/>
      <c r="C253" s="145"/>
      <c r="D253" s="151"/>
      <c r="E253" s="151"/>
      <c r="F253" s="151"/>
      <c r="G253" s="151"/>
      <c r="H253" s="145"/>
      <c r="I253" s="145"/>
      <c r="J253" s="145"/>
      <c r="K253" s="145"/>
      <c r="L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row>
    <row r="254" spans="2:44">
      <c r="B254" s="145"/>
      <c r="C254" s="145"/>
      <c r="D254" s="151"/>
      <c r="E254" s="151"/>
      <c r="F254" s="151"/>
      <c r="G254" s="151"/>
      <c r="H254" s="145"/>
      <c r="I254" s="145"/>
      <c r="J254" s="145"/>
      <c r="K254" s="145"/>
      <c r="L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row>
    <row r="255" spans="2:44">
      <c r="B255" s="145"/>
      <c r="C255" s="145"/>
      <c r="D255" s="151"/>
      <c r="E255" s="151"/>
      <c r="F255" s="151"/>
      <c r="G255" s="151"/>
      <c r="H255" s="145"/>
      <c r="I255" s="145"/>
      <c r="J255" s="145"/>
      <c r="K255" s="145"/>
      <c r="L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row>
    <row r="256" spans="2:44">
      <c r="B256" s="145"/>
      <c r="C256" s="145"/>
      <c r="D256" s="151"/>
      <c r="E256" s="151"/>
      <c r="F256" s="151"/>
      <c r="G256" s="151"/>
      <c r="H256" s="145"/>
      <c r="I256" s="145"/>
      <c r="J256" s="145"/>
      <c r="K256" s="145"/>
      <c r="L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row>
    <row r="257" spans="2:44">
      <c r="B257" s="145"/>
      <c r="C257" s="145"/>
      <c r="D257" s="151"/>
      <c r="E257" s="151"/>
      <c r="F257" s="151"/>
      <c r="G257" s="151"/>
      <c r="H257" s="145"/>
      <c r="I257" s="145"/>
      <c r="J257" s="145"/>
      <c r="K257" s="145"/>
      <c r="L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row>
    <row r="258" spans="2:44">
      <c r="B258" s="145"/>
      <c r="C258" s="145"/>
      <c r="D258" s="151"/>
      <c r="E258" s="151"/>
      <c r="F258" s="151"/>
      <c r="G258" s="151"/>
      <c r="H258" s="145"/>
      <c r="I258" s="145"/>
      <c r="J258" s="145"/>
      <c r="K258" s="145"/>
      <c r="L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row>
    <row r="259" spans="2:44">
      <c r="B259" s="145"/>
      <c r="C259" s="145"/>
      <c r="D259" s="151"/>
      <c r="E259" s="151"/>
      <c r="F259" s="151"/>
      <c r="G259" s="151"/>
      <c r="H259" s="145"/>
      <c r="I259" s="145"/>
      <c r="J259" s="145"/>
      <c r="K259" s="145"/>
      <c r="L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row>
    <row r="260" spans="2:44">
      <c r="B260" s="145"/>
      <c r="C260" s="145"/>
      <c r="D260" s="151"/>
      <c r="E260" s="151"/>
      <c r="F260" s="151"/>
      <c r="G260" s="151"/>
      <c r="H260" s="145"/>
      <c r="I260" s="145"/>
      <c r="J260" s="145"/>
      <c r="K260" s="145"/>
      <c r="L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row>
    <row r="261" spans="2:44">
      <c r="B261" s="145"/>
      <c r="C261" s="145"/>
      <c r="D261" s="151"/>
      <c r="E261" s="151"/>
      <c r="F261" s="151"/>
      <c r="G261" s="151"/>
      <c r="H261" s="145"/>
      <c r="I261" s="145"/>
      <c r="J261" s="145"/>
      <c r="K261" s="145"/>
      <c r="L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row>
    <row r="262" spans="2:44">
      <c r="B262" s="145"/>
      <c r="C262" s="145"/>
      <c r="D262" s="151"/>
      <c r="E262" s="151"/>
      <c r="F262" s="151"/>
      <c r="G262" s="151"/>
      <c r="H262" s="145"/>
      <c r="I262" s="145"/>
      <c r="J262" s="145"/>
      <c r="K262" s="145"/>
      <c r="L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row>
    <row r="263" spans="2:44">
      <c r="B263" s="145"/>
      <c r="C263" s="145"/>
      <c r="D263" s="151"/>
      <c r="E263" s="151"/>
      <c r="F263" s="151"/>
      <c r="G263" s="151"/>
      <c r="H263" s="145"/>
      <c r="I263" s="145"/>
      <c r="J263" s="145"/>
      <c r="K263" s="145"/>
      <c r="L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row>
    <row r="264" spans="2:44">
      <c r="B264" s="145"/>
      <c r="C264" s="145"/>
      <c r="D264" s="151"/>
      <c r="E264" s="151"/>
      <c r="F264" s="151"/>
      <c r="G264" s="151"/>
      <c r="H264" s="145"/>
      <c r="I264" s="145"/>
      <c r="J264" s="145"/>
      <c r="K264" s="145"/>
      <c r="L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row>
    <row r="265" spans="2:44">
      <c r="B265" s="145"/>
      <c r="C265" s="145"/>
      <c r="D265" s="151"/>
      <c r="E265" s="151"/>
      <c r="F265" s="151"/>
      <c r="G265" s="151"/>
      <c r="H265" s="145"/>
      <c r="I265" s="145"/>
      <c r="J265" s="145"/>
      <c r="K265" s="145"/>
      <c r="L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row>
    <row r="266" spans="2:44">
      <c r="B266" s="145"/>
      <c r="C266" s="145"/>
      <c r="D266" s="151"/>
      <c r="E266" s="151"/>
      <c r="F266" s="151"/>
      <c r="G266" s="151"/>
      <c r="H266" s="145"/>
      <c r="I266" s="145"/>
      <c r="J266" s="145"/>
      <c r="K266" s="145"/>
      <c r="L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row>
    <row r="267" spans="2:44">
      <c r="B267" s="145"/>
      <c r="C267" s="145"/>
      <c r="D267" s="151"/>
      <c r="E267" s="151"/>
      <c r="F267" s="151"/>
      <c r="G267" s="151"/>
      <c r="H267" s="145"/>
      <c r="I267" s="145"/>
      <c r="J267" s="145"/>
      <c r="K267" s="145"/>
      <c r="L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row>
    <row r="268" spans="2:44">
      <c r="B268" s="145"/>
      <c r="C268" s="145"/>
      <c r="D268" s="151"/>
      <c r="E268" s="151"/>
      <c r="F268" s="151"/>
      <c r="G268" s="151"/>
      <c r="H268" s="145"/>
      <c r="I268" s="145"/>
      <c r="J268" s="145"/>
      <c r="K268" s="145"/>
      <c r="L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row>
    <row r="269" spans="2:44">
      <c r="B269" s="145"/>
      <c r="C269" s="145"/>
      <c r="D269" s="151"/>
      <c r="E269" s="151"/>
      <c r="F269" s="151"/>
      <c r="G269" s="151"/>
      <c r="H269" s="145"/>
      <c r="I269" s="145"/>
      <c r="J269" s="145"/>
      <c r="K269" s="145"/>
      <c r="L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row>
    <row r="270" spans="2:44">
      <c r="B270" s="145"/>
      <c r="C270" s="145"/>
      <c r="D270" s="151"/>
      <c r="E270" s="151"/>
      <c r="F270" s="151"/>
      <c r="G270" s="151"/>
      <c r="H270" s="145"/>
      <c r="I270" s="145"/>
      <c r="J270" s="145"/>
      <c r="K270" s="145"/>
      <c r="L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row>
    <row r="271" spans="2:44">
      <c r="B271" s="145"/>
      <c r="C271" s="145"/>
      <c r="D271" s="151"/>
      <c r="E271" s="151"/>
      <c r="F271" s="151"/>
      <c r="G271" s="151"/>
      <c r="H271" s="145"/>
      <c r="I271" s="145"/>
      <c r="J271" s="145"/>
      <c r="K271" s="145"/>
      <c r="L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row>
    <row r="272" spans="2:44">
      <c r="B272" s="145"/>
      <c r="C272" s="145"/>
      <c r="D272" s="151"/>
      <c r="E272" s="151"/>
      <c r="F272" s="151"/>
      <c r="G272" s="151"/>
      <c r="H272" s="145"/>
      <c r="I272" s="145"/>
      <c r="J272" s="145"/>
      <c r="K272" s="145"/>
      <c r="L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row>
    <row r="273" spans="2:44">
      <c r="B273" s="145"/>
      <c r="C273" s="145"/>
      <c r="D273" s="151"/>
      <c r="E273" s="151"/>
      <c r="F273" s="151"/>
      <c r="G273" s="151"/>
      <c r="H273" s="145"/>
      <c r="I273" s="145"/>
      <c r="J273" s="145"/>
      <c r="K273" s="145"/>
      <c r="L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row>
    <row r="274" spans="2:44">
      <c r="B274" s="145"/>
      <c r="C274" s="145"/>
      <c r="D274" s="151"/>
      <c r="E274" s="151"/>
      <c r="F274" s="151"/>
      <c r="G274" s="151"/>
      <c r="H274" s="145"/>
      <c r="I274" s="145"/>
      <c r="J274" s="145"/>
      <c r="K274" s="145"/>
      <c r="L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row>
    <row r="275" spans="2:44">
      <c r="B275" s="145"/>
      <c r="C275" s="145"/>
      <c r="D275" s="151"/>
      <c r="E275" s="151"/>
      <c r="F275" s="151"/>
      <c r="G275" s="151"/>
      <c r="H275" s="145"/>
      <c r="I275" s="145"/>
      <c r="J275" s="145"/>
      <c r="K275" s="145"/>
      <c r="L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row>
    <row r="276" spans="2:44">
      <c r="B276" s="145"/>
      <c r="C276" s="145"/>
      <c r="D276" s="151"/>
      <c r="E276" s="151"/>
      <c r="F276" s="151"/>
      <c r="G276" s="151"/>
      <c r="H276" s="145"/>
      <c r="I276" s="145"/>
      <c r="J276" s="145"/>
      <c r="K276" s="145"/>
      <c r="L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row>
    <row r="277" spans="2:44">
      <c r="B277" s="145"/>
      <c r="C277" s="145"/>
      <c r="D277" s="151"/>
      <c r="E277" s="151"/>
      <c r="F277" s="151"/>
      <c r="G277" s="151"/>
      <c r="H277" s="145"/>
      <c r="I277" s="145"/>
      <c r="J277" s="145"/>
      <c r="K277" s="145"/>
      <c r="L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row>
    <row r="278" spans="2:44">
      <c r="B278" s="145"/>
      <c r="C278" s="145"/>
      <c r="D278" s="151"/>
      <c r="E278" s="151"/>
      <c r="F278" s="151"/>
      <c r="G278" s="151"/>
      <c r="H278" s="145"/>
      <c r="I278" s="145"/>
      <c r="J278" s="145"/>
      <c r="K278" s="145"/>
      <c r="L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row>
    <row r="279" spans="2:44">
      <c r="B279" s="145"/>
      <c r="C279" s="145"/>
      <c r="D279" s="151"/>
      <c r="E279" s="151"/>
      <c r="F279" s="151"/>
      <c r="G279" s="151"/>
      <c r="H279" s="145"/>
      <c r="I279" s="145"/>
      <c r="J279" s="145"/>
      <c r="K279" s="145"/>
      <c r="L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row>
    <row r="280" spans="2:44">
      <c r="B280" s="145"/>
      <c r="C280" s="145"/>
      <c r="D280" s="151"/>
      <c r="E280" s="151"/>
      <c r="F280" s="151"/>
      <c r="G280" s="151"/>
      <c r="H280" s="145"/>
      <c r="I280" s="145"/>
      <c r="J280" s="145"/>
      <c r="K280" s="145"/>
      <c r="L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row>
    <row r="281" spans="2:44">
      <c r="B281" s="145"/>
      <c r="C281" s="145"/>
      <c r="D281" s="151"/>
      <c r="E281" s="151"/>
      <c r="F281" s="151"/>
      <c r="G281" s="151"/>
      <c r="H281" s="145"/>
      <c r="I281" s="145"/>
      <c r="J281" s="145"/>
      <c r="K281" s="145"/>
      <c r="L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row>
    <row r="282" spans="2:44">
      <c r="B282" s="145"/>
      <c r="C282" s="145"/>
      <c r="D282" s="151"/>
      <c r="E282" s="151"/>
      <c r="F282" s="151"/>
      <c r="G282" s="151"/>
      <c r="H282" s="145"/>
      <c r="I282" s="145"/>
      <c r="J282" s="145"/>
      <c r="K282" s="145"/>
      <c r="L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row>
    <row r="283" spans="2:44">
      <c r="B283" s="145"/>
      <c r="C283" s="145"/>
      <c r="D283" s="151"/>
      <c r="E283" s="151"/>
      <c r="F283" s="151"/>
      <c r="G283" s="151"/>
      <c r="H283" s="145"/>
      <c r="I283" s="145"/>
      <c r="J283" s="145"/>
      <c r="K283" s="145"/>
      <c r="L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row>
    <row r="284" spans="2:44">
      <c r="B284" s="145"/>
      <c r="C284" s="145"/>
      <c r="D284" s="151"/>
      <c r="E284" s="151"/>
      <c r="F284" s="151"/>
      <c r="G284" s="151"/>
      <c r="H284" s="145"/>
      <c r="I284" s="145"/>
      <c r="J284" s="145"/>
      <c r="K284" s="145"/>
      <c r="L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row>
    <row r="285" spans="2:44">
      <c r="B285" s="145"/>
      <c r="C285" s="145"/>
      <c r="D285" s="151"/>
      <c r="E285" s="151"/>
      <c r="F285" s="151"/>
      <c r="G285" s="151"/>
      <c r="H285" s="145"/>
      <c r="I285" s="145"/>
      <c r="J285" s="145"/>
      <c r="K285" s="145"/>
      <c r="L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row>
    <row r="286" spans="2:44">
      <c r="B286" s="145"/>
      <c r="C286" s="145"/>
      <c r="D286" s="151"/>
      <c r="E286" s="151"/>
      <c r="F286" s="151"/>
      <c r="G286" s="151"/>
      <c r="H286" s="145"/>
      <c r="I286" s="145"/>
      <c r="J286" s="145"/>
      <c r="K286" s="145"/>
      <c r="L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row>
    <row r="287" spans="2:44">
      <c r="B287" s="145"/>
      <c r="C287" s="145"/>
      <c r="D287" s="151"/>
      <c r="E287" s="151"/>
      <c r="F287" s="151"/>
      <c r="G287" s="151"/>
      <c r="H287" s="145"/>
      <c r="I287" s="145"/>
      <c r="J287" s="145"/>
      <c r="K287" s="145"/>
      <c r="L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row>
    <row r="288" spans="2:44">
      <c r="B288" s="145"/>
      <c r="C288" s="145"/>
      <c r="D288" s="151"/>
      <c r="E288" s="151"/>
      <c r="F288" s="151"/>
      <c r="G288" s="151"/>
      <c r="H288" s="145"/>
      <c r="I288" s="145"/>
      <c r="J288" s="145"/>
      <c r="K288" s="145"/>
      <c r="L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row>
    <row r="289" spans="2:44">
      <c r="B289" s="145"/>
      <c r="C289" s="145"/>
      <c r="D289" s="151"/>
      <c r="E289" s="151"/>
      <c r="F289" s="151"/>
      <c r="G289" s="151"/>
      <c r="H289" s="145"/>
      <c r="I289" s="145"/>
      <c r="J289" s="145"/>
      <c r="K289" s="145"/>
      <c r="L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row>
    <row r="290" spans="2:44">
      <c r="B290" s="145"/>
      <c r="C290" s="145"/>
      <c r="D290" s="151"/>
      <c r="E290" s="151"/>
      <c r="F290" s="151"/>
      <c r="G290" s="151"/>
      <c r="H290" s="145"/>
      <c r="I290" s="145"/>
      <c r="J290" s="145"/>
      <c r="K290" s="145"/>
      <c r="L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row>
    <row r="291" spans="2:44">
      <c r="B291" s="145"/>
      <c r="C291" s="145"/>
      <c r="D291" s="151"/>
      <c r="E291" s="151"/>
      <c r="F291" s="151"/>
      <c r="G291" s="151"/>
      <c r="H291" s="145"/>
      <c r="I291" s="145"/>
      <c r="J291" s="145"/>
      <c r="K291" s="145"/>
      <c r="L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row>
    <row r="292" spans="2:44">
      <c r="B292" s="145"/>
      <c r="C292" s="145"/>
      <c r="D292" s="151"/>
      <c r="E292" s="151"/>
      <c r="F292" s="151"/>
      <c r="G292" s="151"/>
      <c r="H292" s="145"/>
      <c r="I292" s="145"/>
      <c r="J292" s="145"/>
      <c r="K292" s="145"/>
      <c r="L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row>
    <row r="293" spans="2:44">
      <c r="B293" s="145"/>
      <c r="C293" s="145"/>
      <c r="D293" s="151"/>
      <c r="E293" s="151"/>
      <c r="F293" s="151"/>
      <c r="G293" s="151"/>
      <c r="H293" s="145"/>
      <c r="I293" s="145"/>
      <c r="J293" s="145"/>
      <c r="K293" s="145"/>
      <c r="L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row>
    <row r="294" spans="2:44">
      <c r="B294" s="145"/>
      <c r="C294" s="145"/>
      <c r="D294" s="151"/>
      <c r="E294" s="151"/>
      <c r="F294" s="151"/>
      <c r="G294" s="151"/>
      <c r="H294" s="145"/>
      <c r="I294" s="145"/>
      <c r="J294" s="145"/>
      <c r="K294" s="145"/>
      <c r="L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row>
    <row r="295" spans="2:44">
      <c r="B295" s="145"/>
      <c r="C295" s="145"/>
      <c r="D295" s="151"/>
      <c r="E295" s="151"/>
      <c r="F295" s="151"/>
      <c r="G295" s="151"/>
      <c r="H295" s="145"/>
      <c r="I295" s="145"/>
      <c r="J295" s="145"/>
      <c r="K295" s="145"/>
      <c r="L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row>
    <row r="296" spans="2:44">
      <c r="B296" s="145"/>
      <c r="C296" s="145"/>
      <c r="D296" s="151"/>
      <c r="E296" s="151"/>
      <c r="F296" s="151"/>
      <c r="G296" s="151"/>
      <c r="H296" s="145"/>
      <c r="I296" s="145"/>
      <c r="J296" s="145"/>
      <c r="K296" s="145"/>
      <c r="L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row>
    <row r="297" spans="2:44">
      <c r="B297" s="145"/>
      <c r="C297" s="145"/>
      <c r="D297" s="151"/>
      <c r="E297" s="151"/>
      <c r="F297" s="151"/>
      <c r="G297" s="151"/>
      <c r="H297" s="145"/>
      <c r="I297" s="145"/>
      <c r="J297" s="145"/>
      <c r="K297" s="145"/>
      <c r="L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row>
    <row r="298" spans="2:44">
      <c r="B298" s="145"/>
      <c r="C298" s="145"/>
      <c r="D298" s="151"/>
      <c r="E298" s="151"/>
      <c r="F298" s="151"/>
      <c r="G298" s="151"/>
      <c r="H298" s="145"/>
      <c r="I298" s="145"/>
      <c r="J298" s="145"/>
      <c r="K298" s="145"/>
      <c r="L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row>
    <row r="299" spans="2:44">
      <c r="B299" s="145"/>
      <c r="C299" s="145"/>
      <c r="D299" s="151"/>
      <c r="E299" s="151"/>
      <c r="F299" s="151"/>
      <c r="G299" s="151"/>
      <c r="H299" s="145"/>
      <c r="I299" s="145"/>
      <c r="J299" s="145"/>
      <c r="K299" s="145"/>
      <c r="L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row>
    <row r="300" spans="2:44">
      <c r="B300" s="145"/>
      <c r="C300" s="145"/>
      <c r="D300" s="151"/>
      <c r="E300" s="151"/>
      <c r="F300" s="151"/>
      <c r="G300" s="151"/>
      <c r="H300" s="145"/>
      <c r="I300" s="145"/>
      <c r="J300" s="145"/>
      <c r="K300" s="145"/>
      <c r="L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row>
    <row r="301" spans="2:44">
      <c r="B301" s="145"/>
      <c r="C301" s="145"/>
      <c r="D301" s="151"/>
      <c r="E301" s="151"/>
      <c r="F301" s="151"/>
      <c r="G301" s="151"/>
      <c r="H301" s="145"/>
      <c r="I301" s="145"/>
      <c r="J301" s="145"/>
      <c r="K301" s="145"/>
      <c r="L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row>
    <row r="302" spans="2:44">
      <c r="B302" s="145"/>
      <c r="C302" s="145"/>
      <c r="D302" s="151"/>
      <c r="E302" s="151"/>
      <c r="F302" s="151"/>
      <c r="G302" s="151"/>
      <c r="H302" s="145"/>
      <c r="I302" s="145"/>
      <c r="J302" s="145"/>
      <c r="K302" s="145"/>
      <c r="L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row>
    <row r="303" spans="2:44">
      <c r="B303" s="145"/>
      <c r="C303" s="145"/>
      <c r="D303" s="151"/>
      <c r="E303" s="151"/>
      <c r="F303" s="151"/>
      <c r="G303" s="151"/>
      <c r="H303" s="145"/>
      <c r="I303" s="145"/>
      <c r="J303" s="145"/>
      <c r="K303" s="145"/>
      <c r="L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row>
    <row r="304" spans="2:44">
      <c r="B304" s="145"/>
      <c r="C304" s="145"/>
      <c r="D304" s="151"/>
      <c r="E304" s="151"/>
      <c r="F304" s="151"/>
      <c r="G304" s="151"/>
      <c r="H304" s="145"/>
      <c r="I304" s="145"/>
      <c r="J304" s="145"/>
      <c r="K304" s="145"/>
      <c r="L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row>
    <row r="305" spans="2:44">
      <c r="B305" s="145"/>
      <c r="C305" s="145"/>
      <c r="D305" s="151"/>
      <c r="E305" s="151"/>
      <c r="F305" s="151"/>
      <c r="G305" s="151"/>
      <c r="H305" s="145"/>
      <c r="I305" s="145"/>
      <c r="J305" s="145"/>
      <c r="K305" s="145"/>
      <c r="L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row>
    <row r="306" spans="2:44">
      <c r="B306" s="145"/>
      <c r="C306" s="145"/>
      <c r="D306" s="151"/>
      <c r="E306" s="151"/>
      <c r="F306" s="151"/>
      <c r="G306" s="151"/>
      <c r="H306" s="145"/>
      <c r="I306" s="145"/>
      <c r="J306" s="145"/>
      <c r="K306" s="145"/>
      <c r="L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row>
    <row r="307" spans="2:44">
      <c r="B307" s="145"/>
      <c r="C307" s="145"/>
      <c r="D307" s="151"/>
      <c r="E307" s="151"/>
      <c r="F307" s="151"/>
      <c r="G307" s="151"/>
      <c r="H307" s="145"/>
      <c r="I307" s="145"/>
      <c r="J307" s="145"/>
      <c r="K307" s="145"/>
      <c r="L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row>
    <row r="308" spans="2:44">
      <c r="B308" s="145"/>
      <c r="C308" s="145"/>
      <c r="D308" s="151"/>
      <c r="E308" s="151"/>
      <c r="F308" s="151"/>
      <c r="G308" s="151"/>
      <c r="H308" s="145"/>
      <c r="I308" s="145"/>
      <c r="J308" s="145"/>
      <c r="K308" s="145"/>
      <c r="L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row>
    <row r="309" spans="2:44">
      <c r="B309" s="145"/>
      <c r="C309" s="145"/>
      <c r="D309" s="151"/>
      <c r="E309" s="151"/>
      <c r="F309" s="151"/>
      <c r="G309" s="151"/>
      <c r="H309" s="145"/>
      <c r="I309" s="145"/>
      <c r="J309" s="145"/>
      <c r="K309" s="145"/>
      <c r="L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row>
    <row r="310" spans="2:44">
      <c r="B310" s="145"/>
      <c r="C310" s="145"/>
      <c r="D310" s="151"/>
      <c r="E310" s="151"/>
      <c r="F310" s="151"/>
      <c r="G310" s="151"/>
      <c r="H310" s="145"/>
      <c r="I310" s="145"/>
      <c r="J310" s="145"/>
      <c r="K310" s="145"/>
      <c r="L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row>
    <row r="311" spans="2:44">
      <c r="B311" s="145"/>
      <c r="C311" s="145"/>
      <c r="D311" s="151"/>
      <c r="E311" s="151"/>
      <c r="F311" s="151"/>
      <c r="G311" s="151"/>
      <c r="H311" s="145"/>
      <c r="I311" s="145"/>
      <c r="J311" s="145"/>
      <c r="K311" s="145"/>
      <c r="L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row>
    <row r="312" spans="2:44">
      <c r="B312" s="145"/>
      <c r="C312" s="145"/>
      <c r="D312" s="151"/>
      <c r="E312" s="151"/>
      <c r="F312" s="151"/>
      <c r="G312" s="151"/>
      <c r="H312" s="145"/>
      <c r="I312" s="145"/>
      <c r="J312" s="145"/>
      <c r="K312" s="145"/>
      <c r="L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row>
    <row r="313" spans="2:44">
      <c r="B313" s="145"/>
      <c r="C313" s="145"/>
      <c r="D313" s="151"/>
      <c r="E313" s="151"/>
      <c r="F313" s="151"/>
      <c r="G313" s="151"/>
      <c r="H313" s="145"/>
      <c r="I313" s="145"/>
      <c r="J313" s="145"/>
      <c r="K313" s="145"/>
      <c r="L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row>
    <row r="314" spans="2:44">
      <c r="B314" s="145"/>
      <c r="C314" s="145"/>
      <c r="D314" s="151"/>
      <c r="E314" s="151"/>
      <c r="F314" s="151"/>
      <c r="G314" s="151"/>
      <c r="H314" s="145"/>
      <c r="I314" s="145"/>
      <c r="J314" s="145"/>
      <c r="K314" s="145"/>
      <c r="L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row>
    <row r="315" spans="2:44">
      <c r="B315" s="145"/>
      <c r="C315" s="145"/>
      <c r="D315" s="151"/>
      <c r="E315" s="151"/>
      <c r="F315" s="151"/>
      <c r="G315" s="151"/>
      <c r="H315" s="145"/>
      <c r="I315" s="145"/>
      <c r="J315" s="145"/>
      <c r="K315" s="145"/>
      <c r="L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row>
    <row r="316" spans="2:44">
      <c r="B316" s="145"/>
      <c r="C316" s="145"/>
      <c r="D316" s="151"/>
      <c r="E316" s="151"/>
      <c r="F316" s="151"/>
      <c r="G316" s="151"/>
      <c r="H316" s="145"/>
      <c r="I316" s="145"/>
      <c r="J316" s="145"/>
      <c r="K316" s="145"/>
      <c r="L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row>
    <row r="317" spans="2:44">
      <c r="B317" s="145"/>
      <c r="C317" s="145"/>
      <c r="D317" s="151"/>
      <c r="E317" s="151"/>
      <c r="F317" s="151"/>
      <c r="G317" s="151"/>
      <c r="H317" s="145"/>
      <c r="I317" s="145"/>
      <c r="J317" s="145"/>
      <c r="K317" s="145"/>
      <c r="L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row>
    <row r="318" spans="2:44">
      <c r="B318" s="145"/>
      <c r="C318" s="145"/>
      <c r="D318" s="151"/>
      <c r="E318" s="151"/>
      <c r="F318" s="151"/>
      <c r="G318" s="151"/>
      <c r="H318" s="145"/>
      <c r="I318" s="145"/>
      <c r="J318" s="145"/>
      <c r="K318" s="145"/>
      <c r="L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row>
    <row r="319" spans="2:44">
      <c r="B319" s="145"/>
      <c r="C319" s="145"/>
      <c r="D319" s="151"/>
      <c r="E319" s="151"/>
      <c r="F319" s="151"/>
      <c r="G319" s="151"/>
      <c r="H319" s="145"/>
      <c r="I319" s="145"/>
      <c r="J319" s="145"/>
      <c r="K319" s="145"/>
      <c r="L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row>
    <row r="320" spans="2:44">
      <c r="B320" s="145"/>
      <c r="C320" s="145"/>
      <c r="D320" s="151"/>
      <c r="E320" s="151"/>
      <c r="F320" s="151"/>
      <c r="G320" s="151"/>
      <c r="H320" s="145"/>
      <c r="I320" s="145"/>
      <c r="J320" s="145"/>
      <c r="K320" s="145"/>
      <c r="L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row>
    <row r="321" spans="2:44">
      <c r="B321" s="145"/>
      <c r="C321" s="145"/>
      <c r="D321" s="151"/>
      <c r="E321" s="151"/>
      <c r="F321" s="151"/>
      <c r="G321" s="151"/>
      <c r="H321" s="145"/>
      <c r="I321" s="145"/>
      <c r="J321" s="145"/>
      <c r="K321" s="145"/>
      <c r="L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row>
    <row r="322" spans="2:44">
      <c r="B322" s="145"/>
      <c r="C322" s="145"/>
      <c r="D322" s="151"/>
      <c r="E322" s="151"/>
      <c r="F322" s="151"/>
      <c r="G322" s="151"/>
      <c r="H322" s="145"/>
      <c r="I322" s="145"/>
      <c r="J322" s="145"/>
      <c r="K322" s="145"/>
      <c r="L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row>
    <row r="323" spans="2:44">
      <c r="B323" s="145"/>
      <c r="C323" s="145"/>
      <c r="D323" s="151"/>
      <c r="E323" s="151"/>
      <c r="F323" s="151"/>
      <c r="G323" s="151"/>
      <c r="H323" s="145"/>
      <c r="I323" s="145"/>
      <c r="J323" s="145"/>
      <c r="K323" s="145"/>
      <c r="L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row>
    <row r="324" spans="2:44">
      <c r="B324" s="145"/>
      <c r="C324" s="145"/>
      <c r="D324" s="151"/>
      <c r="E324" s="151"/>
      <c r="F324" s="151"/>
      <c r="G324" s="151"/>
      <c r="H324" s="145"/>
      <c r="I324" s="145"/>
      <c r="J324" s="145"/>
      <c r="K324" s="145"/>
      <c r="L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row>
    <row r="325" spans="2:44">
      <c r="B325" s="145"/>
      <c r="C325" s="145"/>
      <c r="D325" s="151"/>
      <c r="E325" s="151"/>
      <c r="F325" s="151"/>
      <c r="G325" s="151"/>
      <c r="H325" s="145"/>
      <c r="I325" s="145"/>
      <c r="J325" s="145"/>
      <c r="K325" s="145"/>
      <c r="L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row>
    <row r="326" spans="2:44">
      <c r="B326" s="145"/>
      <c r="C326" s="145"/>
      <c r="D326" s="151"/>
      <c r="E326" s="151"/>
      <c r="F326" s="151"/>
      <c r="G326" s="151"/>
      <c r="H326" s="145"/>
      <c r="I326" s="145"/>
      <c r="J326" s="145"/>
      <c r="K326" s="145"/>
      <c r="L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row>
    <row r="327" spans="2:44">
      <c r="B327" s="145"/>
      <c r="C327" s="145"/>
      <c r="D327" s="151"/>
      <c r="E327" s="151"/>
      <c r="F327" s="151"/>
      <c r="G327" s="151"/>
      <c r="H327" s="145"/>
      <c r="I327" s="145"/>
      <c r="J327" s="145"/>
      <c r="K327" s="145"/>
      <c r="L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row>
    <row r="328" spans="2:44">
      <c r="B328" s="145"/>
      <c r="C328" s="145"/>
      <c r="D328" s="151"/>
      <c r="E328" s="151"/>
      <c r="F328" s="151"/>
      <c r="G328" s="151"/>
      <c r="H328" s="145"/>
      <c r="I328" s="145"/>
      <c r="J328" s="145"/>
      <c r="K328" s="145"/>
      <c r="L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row>
    <row r="329" spans="2:44">
      <c r="B329" s="145"/>
      <c r="C329" s="145"/>
      <c r="D329" s="151"/>
      <c r="E329" s="151"/>
      <c r="F329" s="151"/>
      <c r="G329" s="151"/>
      <c r="H329" s="145"/>
      <c r="I329" s="145"/>
      <c r="J329" s="145"/>
      <c r="K329" s="145"/>
      <c r="L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row>
    <row r="330" spans="2:44">
      <c r="B330" s="145"/>
      <c r="C330" s="145"/>
      <c r="D330" s="151"/>
      <c r="E330" s="151"/>
      <c r="F330" s="151"/>
      <c r="G330" s="151"/>
      <c r="H330" s="145"/>
      <c r="I330" s="145"/>
      <c r="J330" s="145"/>
      <c r="K330" s="145"/>
      <c r="L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row>
    <row r="331" spans="2:44">
      <c r="B331" s="145"/>
      <c r="C331" s="145"/>
      <c r="D331" s="151"/>
      <c r="E331" s="151"/>
      <c r="F331" s="151"/>
      <c r="G331" s="151"/>
      <c r="H331" s="145"/>
      <c r="I331" s="145"/>
      <c r="J331" s="145"/>
      <c r="K331" s="145"/>
      <c r="L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row>
    <row r="332" spans="2:44">
      <c r="B332" s="145"/>
      <c r="C332" s="145"/>
      <c r="D332" s="151"/>
      <c r="E332" s="151"/>
      <c r="F332" s="151"/>
      <c r="G332" s="151"/>
      <c r="H332" s="145"/>
      <c r="I332" s="145"/>
      <c r="J332" s="145"/>
      <c r="K332" s="145"/>
      <c r="L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row>
    <row r="333" spans="2:44">
      <c r="B333" s="145"/>
      <c r="C333" s="145"/>
      <c r="D333" s="151"/>
      <c r="E333" s="151"/>
      <c r="F333" s="151"/>
      <c r="G333" s="151"/>
      <c r="H333" s="145"/>
      <c r="I333" s="145"/>
      <c r="J333" s="145"/>
      <c r="K333" s="145"/>
      <c r="L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row>
    <row r="334" spans="2:44">
      <c r="B334" s="145"/>
      <c r="C334" s="145"/>
      <c r="D334" s="151"/>
      <c r="E334" s="151"/>
      <c r="F334" s="151"/>
      <c r="G334" s="151"/>
      <c r="H334" s="145"/>
      <c r="I334" s="145"/>
      <c r="J334" s="145"/>
      <c r="K334" s="145"/>
      <c r="L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row>
    <row r="335" spans="2:44">
      <c r="B335" s="145"/>
      <c r="C335" s="145"/>
      <c r="D335" s="151"/>
      <c r="E335" s="151"/>
      <c r="F335" s="151"/>
      <c r="G335" s="151"/>
      <c r="H335" s="145"/>
      <c r="I335" s="145"/>
      <c r="J335" s="145"/>
      <c r="K335" s="145"/>
      <c r="L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row>
    <row r="336" spans="2:44">
      <c r="B336" s="145"/>
      <c r="C336" s="145"/>
      <c r="D336" s="151"/>
      <c r="E336" s="151"/>
      <c r="F336" s="151"/>
      <c r="G336" s="151"/>
      <c r="H336" s="145"/>
      <c r="I336" s="145"/>
      <c r="J336" s="145"/>
      <c r="K336" s="145"/>
      <c r="L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row>
    <row r="337" spans="2:44">
      <c r="B337" s="145"/>
      <c r="C337" s="145"/>
      <c r="D337" s="151"/>
      <c r="E337" s="151"/>
      <c r="F337" s="151"/>
      <c r="G337" s="151"/>
      <c r="H337" s="145"/>
      <c r="I337" s="145"/>
      <c r="J337" s="145"/>
      <c r="K337" s="145"/>
      <c r="L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row>
    <row r="338" spans="2:44">
      <c r="B338" s="145"/>
      <c r="C338" s="145"/>
      <c r="D338" s="151"/>
      <c r="E338" s="151"/>
      <c r="F338" s="151"/>
      <c r="G338" s="151"/>
      <c r="H338" s="145"/>
      <c r="I338" s="145"/>
      <c r="J338" s="145"/>
      <c r="K338" s="145"/>
      <c r="L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row>
    <row r="339" spans="2:44">
      <c r="B339" s="145"/>
      <c r="C339" s="145"/>
      <c r="D339" s="151"/>
      <c r="E339" s="151"/>
      <c r="F339" s="151"/>
      <c r="G339" s="151"/>
      <c r="H339" s="145"/>
      <c r="I339" s="145"/>
      <c r="J339" s="145"/>
      <c r="K339" s="145"/>
      <c r="L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row>
    <row r="340" spans="2:44">
      <c r="B340" s="145"/>
      <c r="C340" s="145"/>
      <c r="D340" s="151"/>
      <c r="E340" s="151"/>
      <c r="F340" s="151"/>
      <c r="G340" s="151"/>
      <c r="H340" s="145"/>
      <c r="I340" s="145"/>
      <c r="J340" s="145"/>
      <c r="K340" s="145"/>
      <c r="L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row>
    <row r="341" spans="2:44">
      <c r="B341" s="145"/>
      <c r="C341" s="145"/>
      <c r="D341" s="151"/>
      <c r="E341" s="151"/>
      <c r="F341" s="151"/>
      <c r="G341" s="151"/>
      <c r="H341" s="145"/>
      <c r="I341" s="145"/>
      <c r="J341" s="145"/>
      <c r="K341" s="145"/>
      <c r="L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row>
    <row r="342" spans="2:44">
      <c r="B342" s="145"/>
      <c r="C342" s="145"/>
      <c r="D342" s="151"/>
      <c r="E342" s="151"/>
      <c r="F342" s="151"/>
      <c r="G342" s="151"/>
      <c r="H342" s="145"/>
      <c r="I342" s="145"/>
      <c r="J342" s="145"/>
      <c r="K342" s="145"/>
      <c r="L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row>
    <row r="343" spans="2:44">
      <c r="B343" s="145"/>
      <c r="C343" s="145"/>
      <c r="D343" s="151"/>
      <c r="E343" s="151"/>
      <c r="F343" s="151"/>
      <c r="G343" s="151"/>
      <c r="H343" s="145"/>
      <c r="I343" s="145"/>
      <c r="J343" s="145"/>
      <c r="K343" s="145"/>
      <c r="L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row>
    <row r="344" spans="2:44">
      <c r="B344" s="145"/>
      <c r="C344" s="145"/>
      <c r="D344" s="151"/>
      <c r="E344" s="151"/>
      <c r="F344" s="151"/>
      <c r="G344" s="151"/>
      <c r="H344" s="145"/>
      <c r="I344" s="145"/>
      <c r="J344" s="145"/>
      <c r="K344" s="145"/>
      <c r="L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row>
    <row r="345" spans="2:44">
      <c r="B345" s="145"/>
      <c r="C345" s="145"/>
      <c r="D345" s="151"/>
      <c r="E345" s="151"/>
      <c r="F345" s="151"/>
      <c r="G345" s="151"/>
      <c r="H345" s="145"/>
      <c r="I345" s="145"/>
      <c r="J345" s="145"/>
      <c r="K345" s="145"/>
      <c r="L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row>
    <row r="346" spans="2:44">
      <c r="B346" s="145"/>
      <c r="C346" s="145"/>
      <c r="D346" s="151"/>
      <c r="E346" s="151"/>
      <c r="F346" s="151"/>
      <c r="G346" s="151"/>
      <c r="H346" s="145"/>
      <c r="I346" s="145"/>
      <c r="J346" s="145"/>
      <c r="K346" s="145"/>
      <c r="L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row>
    <row r="347" spans="2:44">
      <c r="B347" s="145"/>
      <c r="C347" s="145"/>
      <c r="D347" s="151"/>
      <c r="E347" s="151"/>
      <c r="F347" s="151"/>
      <c r="G347" s="151"/>
      <c r="H347" s="145"/>
      <c r="I347" s="145"/>
      <c r="J347" s="145"/>
      <c r="K347" s="145"/>
      <c r="L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row>
    <row r="348" spans="2:44">
      <c r="B348" s="145"/>
      <c r="C348" s="145"/>
      <c r="D348" s="151"/>
      <c r="E348" s="151"/>
      <c r="F348" s="151"/>
      <c r="G348" s="151"/>
      <c r="H348" s="145"/>
      <c r="I348" s="145"/>
      <c r="J348" s="145"/>
      <c r="K348" s="145"/>
      <c r="L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row>
    <row r="349" spans="2:44">
      <c r="B349" s="145"/>
      <c r="C349" s="145"/>
      <c r="D349" s="151"/>
      <c r="E349" s="151"/>
      <c r="F349" s="151"/>
      <c r="G349" s="151"/>
      <c r="H349" s="145"/>
      <c r="I349" s="145"/>
      <c r="J349" s="145"/>
      <c r="K349" s="145"/>
      <c r="L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row>
    <row r="350" spans="2:44">
      <c r="B350" s="145"/>
      <c r="C350" s="145"/>
      <c r="D350" s="151"/>
      <c r="E350" s="151"/>
      <c r="F350" s="151"/>
      <c r="G350" s="151"/>
      <c r="H350" s="145"/>
      <c r="I350" s="145"/>
      <c r="J350" s="145"/>
      <c r="K350" s="145"/>
      <c r="L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row>
    <row r="351" spans="2:44">
      <c r="B351" s="145"/>
      <c r="C351" s="145"/>
      <c r="D351" s="151"/>
      <c r="E351" s="151"/>
      <c r="F351" s="151"/>
      <c r="G351" s="151"/>
      <c r="H351" s="145"/>
      <c r="I351" s="145"/>
      <c r="J351" s="145"/>
      <c r="K351" s="145"/>
      <c r="L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row>
    <row r="352" spans="2:44">
      <c r="B352" s="145"/>
      <c r="C352" s="145"/>
      <c r="D352" s="151"/>
      <c r="E352" s="151"/>
      <c r="F352" s="151"/>
      <c r="G352" s="151"/>
      <c r="H352" s="145"/>
      <c r="I352" s="145"/>
      <c r="J352" s="145"/>
      <c r="K352" s="145"/>
      <c r="L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row>
    <row r="353" spans="2:44">
      <c r="B353" s="145"/>
      <c r="C353" s="145"/>
      <c r="D353" s="151"/>
      <c r="E353" s="151"/>
      <c r="F353" s="151"/>
      <c r="G353" s="151"/>
      <c r="H353" s="145"/>
      <c r="I353" s="145"/>
      <c r="J353" s="145"/>
      <c r="K353" s="145"/>
      <c r="L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row>
    <row r="354" spans="2:44">
      <c r="B354" s="145"/>
      <c r="C354" s="145"/>
      <c r="D354" s="151"/>
      <c r="E354" s="151"/>
      <c r="F354" s="151"/>
      <c r="G354" s="151"/>
      <c r="H354" s="145"/>
      <c r="I354" s="145"/>
      <c r="J354" s="145"/>
      <c r="K354" s="145"/>
      <c r="L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row>
    <row r="355" spans="2:44">
      <c r="B355" s="145"/>
      <c r="C355" s="145"/>
      <c r="D355" s="151"/>
      <c r="E355" s="151"/>
      <c r="F355" s="151"/>
      <c r="G355" s="151"/>
      <c r="H355" s="145"/>
      <c r="I355" s="145"/>
      <c r="J355" s="145"/>
      <c r="K355" s="145"/>
      <c r="L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row>
    <row r="356" spans="2:44">
      <c r="B356" s="145"/>
      <c r="C356" s="145"/>
      <c r="D356" s="151"/>
      <c r="E356" s="151"/>
      <c r="F356" s="151"/>
      <c r="G356" s="151"/>
      <c r="H356" s="145"/>
      <c r="I356" s="145"/>
      <c r="J356" s="145"/>
      <c r="K356" s="145"/>
      <c r="L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row>
    <row r="357" spans="2:44">
      <c r="B357" s="145"/>
      <c r="C357" s="145"/>
      <c r="D357" s="151"/>
      <c r="E357" s="151"/>
      <c r="F357" s="151"/>
      <c r="G357" s="151"/>
      <c r="H357" s="145"/>
      <c r="I357" s="145"/>
      <c r="J357" s="145"/>
      <c r="K357" s="145"/>
      <c r="L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row>
    <row r="358" spans="2:44">
      <c r="B358" s="145"/>
      <c r="C358" s="145"/>
      <c r="D358" s="151"/>
      <c r="E358" s="151"/>
      <c r="F358" s="151"/>
      <c r="G358" s="151"/>
      <c r="H358" s="145"/>
      <c r="I358" s="145"/>
      <c r="J358" s="145"/>
      <c r="K358" s="145"/>
      <c r="L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row>
    <row r="359" spans="2:44">
      <c r="B359" s="145"/>
      <c r="C359" s="145"/>
      <c r="D359" s="151"/>
      <c r="E359" s="151"/>
      <c r="F359" s="151"/>
      <c r="G359" s="151"/>
      <c r="H359" s="145"/>
      <c r="I359" s="145"/>
      <c r="J359" s="145"/>
      <c r="K359" s="145"/>
      <c r="L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row>
    <row r="360" spans="2:44">
      <c r="B360" s="145"/>
      <c r="C360" s="145"/>
      <c r="D360" s="151"/>
      <c r="E360" s="151"/>
      <c r="F360" s="151"/>
      <c r="G360" s="151"/>
      <c r="H360" s="145"/>
      <c r="I360" s="145"/>
      <c r="J360" s="145"/>
      <c r="K360" s="145"/>
      <c r="L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row>
    <row r="361" spans="2:44">
      <c r="B361" s="145"/>
      <c r="C361" s="145"/>
      <c r="D361" s="151"/>
      <c r="E361" s="151"/>
      <c r="F361" s="151"/>
      <c r="G361" s="151"/>
      <c r="H361" s="145"/>
      <c r="I361" s="145"/>
      <c r="J361" s="145"/>
      <c r="K361" s="145"/>
      <c r="L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row>
    <row r="362" spans="2:44">
      <c r="B362" s="145"/>
      <c r="C362" s="145"/>
      <c r="D362" s="151"/>
      <c r="E362" s="151"/>
      <c r="F362" s="151"/>
      <c r="G362" s="151"/>
      <c r="H362" s="145"/>
      <c r="I362" s="145"/>
      <c r="J362" s="145"/>
      <c r="K362" s="145"/>
      <c r="L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row>
    <row r="363" spans="2:44">
      <c r="B363" s="145"/>
      <c r="C363" s="145"/>
      <c r="D363" s="151"/>
      <c r="E363" s="151"/>
      <c r="F363" s="151"/>
      <c r="G363" s="151"/>
      <c r="H363" s="145"/>
      <c r="I363" s="145"/>
      <c r="J363" s="145"/>
      <c r="K363" s="145"/>
      <c r="L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row>
    <row r="364" spans="2:44">
      <c r="B364" s="145"/>
      <c r="C364" s="145"/>
      <c r="D364" s="151"/>
      <c r="E364" s="151"/>
      <c r="F364" s="151"/>
      <c r="G364" s="151"/>
      <c r="H364" s="145"/>
      <c r="I364" s="145"/>
      <c r="J364" s="145"/>
      <c r="K364" s="145"/>
      <c r="L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row>
    <row r="365" spans="2:44">
      <c r="B365" s="145"/>
      <c r="C365" s="145"/>
      <c r="D365" s="151"/>
      <c r="E365" s="151"/>
      <c r="F365" s="151"/>
      <c r="G365" s="151"/>
      <c r="H365" s="145"/>
      <c r="I365" s="145"/>
      <c r="J365" s="145"/>
      <c r="K365" s="145"/>
      <c r="L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row>
    <row r="366" spans="2:44">
      <c r="B366" s="145"/>
      <c r="C366" s="145"/>
      <c r="D366" s="151"/>
      <c r="E366" s="151"/>
      <c r="F366" s="151"/>
      <c r="G366" s="151"/>
      <c r="H366" s="145"/>
      <c r="I366" s="145"/>
      <c r="J366" s="145"/>
      <c r="K366" s="145"/>
      <c r="L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row>
    <row r="367" spans="2:44">
      <c r="B367" s="145"/>
      <c r="C367" s="145"/>
      <c r="D367" s="151"/>
      <c r="E367" s="151"/>
      <c r="F367" s="151"/>
      <c r="G367" s="151"/>
      <c r="H367" s="145"/>
      <c r="I367" s="145"/>
      <c r="J367" s="145"/>
      <c r="K367" s="145"/>
      <c r="L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row>
    <row r="368" spans="2:44">
      <c r="B368" s="145"/>
      <c r="C368" s="145"/>
      <c r="D368" s="151"/>
      <c r="E368" s="151"/>
      <c r="F368" s="151"/>
      <c r="G368" s="151"/>
      <c r="H368" s="145"/>
      <c r="I368" s="145"/>
      <c r="J368" s="145"/>
      <c r="K368" s="145"/>
      <c r="L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row>
    <row r="369" spans="2:44">
      <c r="B369" s="145"/>
      <c r="C369" s="145"/>
      <c r="D369" s="151"/>
      <c r="E369" s="151"/>
      <c r="F369" s="151"/>
      <c r="G369" s="151"/>
      <c r="H369" s="145"/>
      <c r="I369" s="145"/>
      <c r="J369" s="145"/>
      <c r="K369" s="145"/>
      <c r="L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row>
    <row r="370" spans="2:44">
      <c r="B370" s="145"/>
      <c r="C370" s="145"/>
      <c r="D370" s="151"/>
      <c r="E370" s="151"/>
      <c r="F370" s="151"/>
      <c r="G370" s="151"/>
      <c r="H370" s="145"/>
      <c r="I370" s="145"/>
      <c r="J370" s="145"/>
      <c r="K370" s="145"/>
      <c r="L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row>
    <row r="371" spans="2:44">
      <c r="B371" s="145"/>
      <c r="C371" s="145"/>
      <c r="D371" s="151"/>
      <c r="E371" s="151"/>
      <c r="F371" s="151"/>
      <c r="G371" s="151"/>
      <c r="H371" s="145"/>
      <c r="I371" s="145"/>
      <c r="J371" s="145"/>
      <c r="K371" s="145"/>
      <c r="L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row>
    <row r="372" spans="2:44">
      <c r="B372" s="145"/>
      <c r="C372" s="145"/>
      <c r="D372" s="151"/>
      <c r="E372" s="151"/>
      <c r="F372" s="151"/>
      <c r="G372" s="151"/>
      <c r="H372" s="145"/>
      <c r="I372" s="145"/>
      <c r="J372" s="145"/>
      <c r="K372" s="145"/>
      <c r="L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row>
    <row r="373" spans="2:44">
      <c r="B373" s="145"/>
      <c r="C373" s="145"/>
      <c r="D373" s="151"/>
      <c r="E373" s="151"/>
      <c r="F373" s="151"/>
      <c r="G373" s="151"/>
      <c r="H373" s="145"/>
      <c r="I373" s="145"/>
      <c r="J373" s="145"/>
      <c r="K373" s="145"/>
      <c r="L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row>
    <row r="374" spans="2:44">
      <c r="B374" s="145"/>
      <c r="C374" s="145"/>
      <c r="D374" s="151"/>
      <c r="E374" s="151"/>
      <c r="F374" s="151"/>
      <c r="G374" s="151"/>
      <c r="H374" s="145"/>
      <c r="I374" s="145"/>
      <c r="J374" s="145"/>
      <c r="K374" s="145"/>
      <c r="L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row>
    <row r="375" spans="2:44">
      <c r="B375" s="145"/>
      <c r="C375" s="145"/>
      <c r="D375" s="151"/>
      <c r="E375" s="151"/>
      <c r="F375" s="151"/>
      <c r="G375" s="151"/>
      <c r="H375" s="145"/>
      <c r="I375" s="145"/>
      <c r="J375" s="145"/>
      <c r="K375" s="145"/>
      <c r="L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row>
    <row r="376" spans="2:44">
      <c r="B376" s="145"/>
      <c r="C376" s="145"/>
      <c r="D376" s="151"/>
      <c r="E376" s="151"/>
      <c r="F376" s="151"/>
      <c r="G376" s="151"/>
      <c r="J376" s="145"/>
      <c r="K376" s="145"/>
      <c r="L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row>
    <row r="377" spans="2:44">
      <c r="B377" s="145"/>
      <c r="C377" s="145"/>
      <c r="D377" s="151"/>
      <c r="E377" s="151"/>
      <c r="F377" s="151"/>
      <c r="G377" s="151"/>
      <c r="J377" s="145"/>
      <c r="K377" s="145"/>
      <c r="L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row>
    <row r="378" spans="2:44">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row>
    <row r="379" spans="2:44">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row>
    <row r="380" spans="2:44">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row>
    <row r="381" spans="2:44">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row>
    <row r="382" spans="2:44">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row>
    <row r="383" spans="2:44">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row>
  </sheetData>
  <sheetProtection algorithmName="SHA-512" hashValue="/mPzxABuqnpkup+RzOKr62VnrDnqw6dJA3W/3ggAbG8FVi7Ukmp+/htpm1jaWg60PWvINv9h9LBrr0iMsreCNQ==" saltValue="Z2btJ/rnyOKbzGl0Co9MEQ==" spinCount="100000" sheet="1" autoFilter="0"/>
  <autoFilter ref="A3:N35" xr:uid="{00000000-0009-0000-0000-000003000000}"/>
  <mergeCells count="2">
    <mergeCell ref="B1:N1"/>
    <mergeCell ref="B2:N2"/>
  </mergeCells>
  <conditionalFormatting sqref="B4:E4 D5:E9 E10:E35 D16:G28 D29:D35 F29:G35 G4:G35 G5:M35 N4:N35 B5:C35">
    <cfRule type="expression" dxfId="22" priority="150">
      <formula>$B4=""</formula>
    </cfRule>
  </conditionalFormatting>
  <conditionalFormatting sqref="B4:N35">
    <cfRule type="expression" dxfId="21" priority="21">
      <formula>$Q4=FALSE</formula>
    </cfRule>
  </conditionalFormatting>
  <conditionalFormatting sqref="D10:D14 F10:F14">
    <cfRule type="expression" dxfId="19" priority="41">
      <formula>$Q10=TRUE</formula>
    </cfRule>
  </conditionalFormatting>
  <conditionalFormatting sqref="D15:D35 F15:F35">
    <cfRule type="expression" dxfId="18" priority="30">
      <formula>$Q15=TRUE</formula>
    </cfRule>
  </conditionalFormatting>
  <conditionalFormatting sqref="D15:E15">
    <cfRule type="expression" dxfId="17" priority="23">
      <formula>$B15=""</formula>
    </cfRule>
  </conditionalFormatting>
  <conditionalFormatting sqref="D10:G14">
    <cfRule type="expression" dxfId="16" priority="34">
      <formula>$B10=""</formula>
    </cfRule>
  </conditionalFormatting>
  <conditionalFormatting sqref="E4:E35">
    <cfRule type="expression" dxfId="15" priority="9">
      <formula>AND($B4="Administrative",$Q4=TRUE)</formula>
    </cfRule>
    <cfRule type="expression" dxfId="14" priority="149">
      <formula>AND($Q4=TRUE,$B4="eCQM")</formula>
    </cfRule>
  </conditionalFormatting>
  <conditionalFormatting sqref="F4:F9 D4:D9">
    <cfRule type="expression" dxfId="13" priority="229">
      <formula>$Q4=TRUE</formula>
    </cfRule>
  </conditionalFormatting>
  <conditionalFormatting sqref="F15:G15">
    <cfRule type="expression" dxfId="12" priority="26">
      <formula>$B15=""</formula>
    </cfRule>
  </conditionalFormatting>
  <conditionalFormatting sqref="F4:M4 F5:G9">
    <cfRule type="expression" dxfId="11" priority="160">
      <formula>$B4=""</formula>
    </cfRule>
  </conditionalFormatting>
  <conditionalFormatting sqref="G4:G35 D4:E35">
    <cfRule type="expression" dxfId="10" priority="27" stopIfTrue="1">
      <formula>AND($B4="Structural",$Q4=TRUE)</formula>
    </cfRule>
  </conditionalFormatting>
  <conditionalFormatting sqref="G4:G35">
    <cfRule type="expression" dxfId="9" priority="17">
      <formula>AND($Q4=TRUE,OR($B4="eCQM",$B4="Administrative"))</formula>
    </cfRule>
    <cfRule type="expression" dxfId="8" priority="152">
      <formula>AND($Q4=TRUE,$B4="eCQM")</formula>
    </cfRule>
  </conditionalFormatting>
  <conditionalFormatting sqref="G5">
    <cfRule type="expression" dxfId="7" priority="18">
      <formula>$B5=""</formula>
    </cfRule>
  </conditionalFormatting>
  <conditionalFormatting sqref="G10:G35">
    <cfRule type="expression" dxfId="5" priority="25">
      <formula>"$Q10=TRUE"""</formula>
    </cfRule>
  </conditionalFormatting>
  <conditionalFormatting sqref="K4">
    <cfRule type="expression" dxfId="4" priority="1">
      <formula>$B4=""</formula>
    </cfRule>
  </conditionalFormatting>
  <conditionalFormatting sqref="K6:K7">
    <cfRule type="expression" dxfId="3" priority="6">
      <formula>$B6=""</formula>
    </cfRule>
  </conditionalFormatting>
  <conditionalFormatting sqref="K14:K15">
    <cfRule type="expression" dxfId="2" priority="4">
      <formula>$B14=""</formula>
    </cfRule>
  </conditionalFormatting>
  <conditionalFormatting sqref="M4:M35">
    <cfRule type="cellIs" dxfId="1" priority="8" operator="between">
      <formula>0</formula>
      <formula>0.099</formula>
    </cfRule>
  </conditionalFormatting>
  <conditionalFormatting sqref="N4:N35">
    <cfRule type="expression" dxfId="0" priority="166">
      <formula>$Q4=TRUE</formula>
    </cfRule>
  </conditionalFormatting>
  <dataValidations xWindow="910" yWindow="700" count="4">
    <dataValidation type="decimal" allowBlank="1" showInputMessage="1" showErrorMessage="1" promptTitle="Instructions" prompt="Enter in your 2024 performance (0-100)" sqref="D4:D26" xr:uid="{00000000-0002-0000-0300-000003000000}">
      <formula1>0</formula1>
      <formula2>100</formula2>
    </dataValidation>
    <dataValidation type="whole" operator="greaterThanOrEqual" allowBlank="1" showInputMessage="1" showErrorMessage="1" errorTitle="Error" error="Please input a whole number for denominator size." promptTitle="Instructions" prompt="Please input the denominator size for the Administrative measure or eCQM you have selected. " sqref="G4:G26" xr:uid="{04B669FD-C3FD-4E32-9CA1-013C4822D57B}">
      <formula1>0</formula1>
    </dataValidation>
    <dataValidation type="whole" operator="greaterThanOrEqual" allowBlank="1" showInputMessage="1" showErrorMessage="1" errorTitle="Error" error="Please input a whole number for denominator size." promptTitle="Instructions" prompt="Please input the denominator size for the eCQM you have selected. " sqref="E4:E26" xr:uid="{A677E286-6DD4-4F53-80CF-CE57C551B4D1}">
      <formula1>0</formula1>
    </dataValidation>
    <dataValidation type="decimal" allowBlank="1" showInputMessage="1" showErrorMessage="1" promptTitle="Instructions" prompt="Enter in your 2025 performance (0-100)" sqref="F4:F26" xr:uid="{52DE5C7E-4EF1-4C8A-AFA0-659AE64EB6C3}">
      <formula1>0</formula1>
      <formula2>100</formula2>
    </dataValidation>
  </dataValidations>
  <pageMargins left="0.7" right="0.7" top="0.75" bottom="0.75" header="0.3" footer="0.3"/>
  <pageSetup orientation="portrait" horizontalDpi="1200" verticalDpi="1200" r:id="rId1"/>
  <ignoredErrors>
    <ignoredError sqref="M5 M23" formula="1"/>
  </ignoredErrors>
  <extLst>
    <ext xmlns:x14="http://schemas.microsoft.com/office/spreadsheetml/2009/9/main" uri="{78C0D931-6437-407d-A8EE-F0AAD7539E65}">
      <x14:conditionalFormattings>
        <x14:conditionalFormatting xmlns:xm="http://schemas.microsoft.com/office/excel/2006/main">
          <x14:cfRule type="expression" priority="151" id="{9D26E2A7-9362-419C-A7FE-8CC44E563C27}">
            <xm:f>AND($B4="Structural",'1. Measure Selection'!$M$5=TRUE)</xm:f>
            <x14:dxf>
              <font>
                <color theme="0" tint="-4.9989318521683403E-2"/>
              </font>
            </x14:dxf>
          </x14:cfRule>
          <xm:sqref>B4:N35</xm:sqref>
        </x14:conditionalFormatting>
        <x14:conditionalFormatting xmlns:xm="http://schemas.microsoft.com/office/excel/2006/main">
          <x14:cfRule type="expression" priority="19" id="{60681D88-EA9D-45C1-B40B-6DFA5DC529FC}">
            <xm:f>AND($B5="Structural",'1. Measure Selection'!$M$5=TRUE)</xm:f>
            <x14:dxf>
              <font>
                <color theme="0" tint="-4.9989318521683403E-2"/>
              </font>
            </x14:dxf>
          </x14:cfRule>
          <xm:sqref>G5</xm:sqref>
        </x14:conditionalFormatting>
      </x14:conditionalFormattings>
    </ext>
    <ext xmlns:x14="http://schemas.microsoft.com/office/spreadsheetml/2009/9/main" uri="{CCE6A557-97BC-4b89-ADB6-D9C93CAAB3DF}">
      <x14:dataValidations xmlns:xm="http://schemas.microsoft.com/office/excel/2006/main" xWindow="910" yWindow="700" count="1">
        <x14:dataValidation type="list" allowBlank="1" showInputMessage="1" showErrorMessage="1" xr:uid="{751878F8-EB34-4382-BE19-97DF701E8620}">
          <x14:formula1>
            <xm:f>DataValTab!$AB$14:$AB$16</xm:f>
          </x14:formula1>
          <xm:sqref>F27:F35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BED9E8"/>
  </sheetPr>
  <dimension ref="A1:BL435"/>
  <sheetViews>
    <sheetView zoomScale="90" zoomScaleNormal="90" workbookViewId="0">
      <selection activeCell="G5" sqref="G5"/>
    </sheetView>
  </sheetViews>
  <sheetFormatPr defaultColWidth="9.28515625" defaultRowHeight="14.25"/>
  <cols>
    <col min="1" max="1" width="3.5703125" style="134" customWidth="1"/>
    <col min="2" max="3" width="7" style="134" customWidth="1"/>
    <col min="4" max="4" width="5.7109375" style="134" customWidth="1"/>
    <col min="5" max="5" width="44" style="134" customWidth="1"/>
    <col min="6" max="6" width="10.28515625" style="134" customWidth="1"/>
    <col min="7" max="7" width="20.28515625" style="134" customWidth="1"/>
    <col min="8" max="8" width="11.28515625" style="134" customWidth="1"/>
    <col min="9" max="9" width="4" style="134" customWidth="1"/>
    <col min="10" max="10" width="2.7109375" style="145" customWidth="1"/>
    <col min="11" max="11" width="58.7109375" style="145" customWidth="1"/>
    <col min="12" max="64" width="9.28515625" style="145"/>
    <col min="65" max="16384" width="9.28515625" style="134"/>
  </cols>
  <sheetData>
    <row r="1" spans="1:13" ht="15" customHeight="1">
      <c r="A1" s="562" t="s">
        <v>450</v>
      </c>
      <c r="B1" s="563"/>
      <c r="C1" s="563"/>
      <c r="D1" s="563"/>
      <c r="E1" s="563"/>
      <c r="F1" s="563"/>
      <c r="G1" s="563"/>
      <c r="H1" s="563"/>
      <c r="I1" s="564"/>
    </row>
    <row r="2" spans="1:13">
      <c r="A2" s="565"/>
      <c r="B2" s="566"/>
      <c r="C2" s="566"/>
      <c r="D2" s="566"/>
      <c r="E2" s="566"/>
      <c r="F2" s="566"/>
      <c r="G2" s="566"/>
      <c r="H2" s="566"/>
      <c r="I2" s="567"/>
    </row>
    <row r="3" spans="1:13" ht="15" customHeight="1">
      <c r="A3" s="154"/>
      <c r="B3" s="155"/>
      <c r="C3" s="155"/>
      <c r="D3" s="155"/>
      <c r="E3" s="155"/>
      <c r="F3" s="155"/>
      <c r="G3" s="155"/>
      <c r="H3" s="155"/>
      <c r="I3" s="156"/>
    </row>
    <row r="4" spans="1:13" ht="42" customHeight="1">
      <c r="A4" s="154"/>
      <c r="B4" s="568" t="s">
        <v>0</v>
      </c>
      <c r="C4" s="568"/>
      <c r="D4" s="569" t="s">
        <v>22</v>
      </c>
      <c r="E4" s="569"/>
      <c r="F4" s="157" t="s">
        <v>23</v>
      </c>
      <c r="G4" s="157" t="s">
        <v>82</v>
      </c>
      <c r="H4" s="157" t="s">
        <v>65</v>
      </c>
      <c r="I4" s="156"/>
      <c r="L4" s="574"/>
      <c r="M4" s="574"/>
    </row>
    <row r="5" spans="1:13" ht="24" customHeight="1">
      <c r="A5" s="154"/>
      <c r="B5" s="558" t="str">
        <f>IFERROR(VLOOKUP(1,'1. Measure Selection'!$A$16:$M$53,3,FALSE),"")</f>
        <v/>
      </c>
      <c r="C5" s="558"/>
      <c r="D5" s="557" t="str">
        <f>IFERROR(VLOOKUP(1,'1. Measure Selection'!$A$16:$M$53,4,FALSE),"Your Measures Will Populate Here")</f>
        <v>Your Measures Will Populate Here</v>
      </c>
      <c r="E5" s="557"/>
      <c r="F5" s="158" t="str">
        <f>IFERROR(VLOOKUP(1,'1. Measure Selection'!$A$16:$M$53,6,FALSE),"")</f>
        <v/>
      </c>
      <c r="G5" s="159" t="str">
        <f xml:space="preserve"> IFERROR((H5/F5),"")</f>
        <v/>
      </c>
      <c r="H5" s="160" t="str">
        <f>IFERROR(VLOOKUP(1,'1. Measure Selection'!$A$16:$M$53,13,FALSE),"")</f>
        <v/>
      </c>
      <c r="I5" s="156"/>
      <c r="L5" s="574"/>
      <c r="M5" s="574"/>
    </row>
    <row r="6" spans="1:13" ht="24" customHeight="1">
      <c r="A6" s="154"/>
      <c r="B6" s="558" t="str">
        <f>IFERROR(VLOOKUP(2,'1. Measure Selection'!$A$16:$M$53,3,FALSE),"")</f>
        <v/>
      </c>
      <c r="C6" s="558"/>
      <c r="D6" s="557" t="str">
        <f>IFERROR(VLOOKUP(2,'1. Measure Selection'!$A$16:$M$53,4,FALSE),"")</f>
        <v/>
      </c>
      <c r="E6" s="557"/>
      <c r="F6" s="158" t="str">
        <f>IFERROR(VLOOKUP(2,'1. Measure Selection'!$A$16:$M$53,6,FALSE),"")</f>
        <v/>
      </c>
      <c r="G6" s="159" t="str">
        <f xml:space="preserve"> IFERROR((H6/F6),"")</f>
        <v/>
      </c>
      <c r="H6" s="160" t="str">
        <f>IFERROR(VLOOKUP(2,'1. Measure Selection'!$A$16:$M$53,13,FALSE),"")</f>
        <v/>
      </c>
      <c r="I6" s="156"/>
      <c r="L6" s="574"/>
      <c r="M6" s="574"/>
    </row>
    <row r="7" spans="1:13" ht="24" customHeight="1">
      <c r="A7" s="154"/>
      <c r="B7" s="558" t="str">
        <f>IFERROR(VLOOKUP(3,'1. Measure Selection'!$A$16:$M$53,3,FALSE),"")</f>
        <v/>
      </c>
      <c r="C7" s="558"/>
      <c r="D7" s="557" t="str">
        <f>IFERROR(VLOOKUP(3,'1. Measure Selection'!$A$16:$M$53,4,FALSE),"")</f>
        <v/>
      </c>
      <c r="E7" s="557"/>
      <c r="F7" s="158" t="str">
        <f>IFERROR(VLOOKUP(3,'1. Measure Selection'!$A$16:$M$53,6,FALSE),"")</f>
        <v/>
      </c>
      <c r="G7" s="159" t="str">
        <f xml:space="preserve"> IFERROR((H7/F7),"")</f>
        <v/>
      </c>
      <c r="H7" s="160" t="str">
        <f>IFERROR(VLOOKUP(3,'1. Measure Selection'!$A$16:$M$53,13,FALSE),"")</f>
        <v/>
      </c>
      <c r="I7" s="156"/>
      <c r="L7" s="574"/>
      <c r="M7" s="574"/>
    </row>
    <row r="8" spans="1:13" ht="24" customHeight="1">
      <c r="A8" s="154"/>
      <c r="B8" s="558" t="str">
        <f>IFERROR(VLOOKUP(4,'1. Measure Selection'!$A$16:$M$53,3,FALSE),"")</f>
        <v/>
      </c>
      <c r="C8" s="558"/>
      <c r="D8" s="557" t="str">
        <f>IFERROR(VLOOKUP(4,'1. Measure Selection'!$A$16:$M$53,4,FALSE),"")</f>
        <v/>
      </c>
      <c r="E8" s="557"/>
      <c r="F8" s="158" t="str">
        <f>IFERROR(VLOOKUP(4,'1. Measure Selection'!$A$16:$M$53,6,FALSE),"")</f>
        <v/>
      </c>
      <c r="G8" s="159" t="str">
        <f>IFERROR((H8/F8),"")</f>
        <v/>
      </c>
      <c r="H8" s="160" t="str">
        <f>IFERROR(VLOOKUP(4,'1. Measure Selection'!$A$16:$M$53,13,FALSE),"")</f>
        <v/>
      </c>
      <c r="I8" s="156"/>
      <c r="K8" s="161"/>
    </row>
    <row r="9" spans="1:13" ht="24" customHeight="1">
      <c r="A9" s="154"/>
      <c r="B9" s="558" t="str">
        <f>IFERROR(VLOOKUP(5,'1. Measure Selection'!$A$16:$M$53,3,FALSE),"")</f>
        <v/>
      </c>
      <c r="C9" s="558"/>
      <c r="D9" s="557" t="str">
        <f>IFERROR(VLOOKUP(5,'1. Measure Selection'!$A$16:$M$53,4,FALSE),"")</f>
        <v/>
      </c>
      <c r="E9" s="557"/>
      <c r="F9" s="158" t="str">
        <f>IFERROR(VLOOKUP(5,'1. Measure Selection'!$A16:$M$53,6,FALSE),"")</f>
        <v/>
      </c>
      <c r="G9" s="159" t="str">
        <f>IFERROR((H9/F9),"")</f>
        <v/>
      </c>
      <c r="H9" s="160" t="str">
        <f>IFERROR(VLOOKUP(5,'1. Measure Selection'!$A$16:$M$53,13,FALSE),"")</f>
        <v/>
      </c>
      <c r="I9" s="156"/>
      <c r="K9" s="162"/>
      <c r="L9" s="163"/>
    </row>
    <row r="10" spans="1:13" ht="24" customHeight="1">
      <c r="A10" s="154"/>
      <c r="B10" s="558" t="str">
        <f>IFERROR(VLOOKUP(6,'1. Measure Selection'!$A$16:$M$53,3,FALSE),"")</f>
        <v/>
      </c>
      <c r="C10" s="558"/>
      <c r="D10" s="557" t="str">
        <f>IFERROR(VLOOKUP(6,'1. Measure Selection'!$A$16:$M$53,4,FALSE),"")</f>
        <v/>
      </c>
      <c r="E10" s="557"/>
      <c r="F10" s="158" t="str">
        <f>IFERROR(VLOOKUP(6,'1. Measure Selection'!$A$16:$M$53,6,FALSE),"")</f>
        <v/>
      </c>
      <c r="G10" s="159" t="str">
        <f>IFERROR((H10/F10),"")</f>
        <v/>
      </c>
      <c r="H10" s="160" t="str">
        <f>IFERROR(VLOOKUP(6,'1. Measure Selection'!$A$16:$M$53,13,FALSE),"")</f>
        <v/>
      </c>
      <c r="I10" s="156"/>
      <c r="K10" s="559" t="str">
        <f>IF(L10&gt;0,"Note: Goals for Glycemic Status Assessment for Patients with Diabetes, and Contraceptive Care for All Women have yet to be determined.","")</f>
        <v/>
      </c>
      <c r="L10" s="164">
        <f>COUNTIF(H5:H14,"TBD")</f>
        <v>0</v>
      </c>
    </row>
    <row r="11" spans="1:13" ht="24" customHeight="1">
      <c r="A11" s="154"/>
      <c r="B11" s="558" t="str">
        <f>IFERROR(VLOOKUP(7,'1. Measure Selection'!$A$16:$M$53,3,FALSE),"")</f>
        <v/>
      </c>
      <c r="C11" s="558"/>
      <c r="D11" s="557" t="str">
        <f>IFERROR(VLOOKUP(7,'1. Measure Selection'!$A$16:$M$53,4,FALSE),"")</f>
        <v/>
      </c>
      <c r="E11" s="557"/>
      <c r="F11" s="158" t="str">
        <f>IFERROR(VLOOKUP(7,'1. Measure Selection'!$A$16:$M$53,6,FALSE),"")</f>
        <v/>
      </c>
      <c r="G11" s="159" t="str">
        <f>IFERROR(( H11/F11),"")</f>
        <v/>
      </c>
      <c r="H11" s="160" t="str">
        <f>IFERROR(VLOOKUP(7,'1. Measure Selection'!$A$16:$M$53,13,FALSE),"")</f>
        <v/>
      </c>
      <c r="I11" s="156"/>
      <c r="K11" s="559"/>
      <c r="L11" s="163"/>
    </row>
    <row r="12" spans="1:13" ht="24" customHeight="1">
      <c r="A12" s="154"/>
      <c r="B12" s="558" t="str">
        <f>IFERROR(VLOOKUP(8,'1. Measure Selection'!$A$16:$M$53,3,FALSE),"")</f>
        <v/>
      </c>
      <c r="C12" s="558"/>
      <c r="D12" s="557" t="str">
        <f>IFERROR(VLOOKUP(8,'1. Measure Selection'!$A$16:$M$53,4,FALSE),"")</f>
        <v/>
      </c>
      <c r="E12" s="557"/>
      <c r="F12" s="158" t="str">
        <f>IFERROR(VLOOKUP(8,'1. Measure Selection'!$A$16:$M$53,6,FALSE),"")</f>
        <v/>
      </c>
      <c r="G12" s="159" t="str">
        <f xml:space="preserve"> IFERROR((H12/F12),"")</f>
        <v/>
      </c>
      <c r="H12" s="160" t="str">
        <f>IFERROR(VLOOKUP(8,'1. Measure Selection'!$A$16:$M$53,13,FALSE),"")</f>
        <v/>
      </c>
      <c r="I12" s="156"/>
      <c r="K12" s="195"/>
      <c r="L12" s="163"/>
    </row>
    <row r="13" spans="1:13" ht="24" customHeight="1">
      <c r="A13" s="154"/>
      <c r="B13" s="558" t="str">
        <f>IFERROR(VLOOKUP(9,'1. Measure Selection'!$A$16:$M$53,3,FALSE),"")</f>
        <v/>
      </c>
      <c r="C13" s="558"/>
      <c r="D13" s="557" t="str">
        <f>IFERROR(VLOOKUP(9,'1. Measure Selection'!$A$16:$M$53,4,FALSE),"")</f>
        <v/>
      </c>
      <c r="E13" s="557"/>
      <c r="F13" s="158" t="str">
        <f>IFERROR(VLOOKUP(9,'1. Measure Selection'!$A$16:$M$53,6,FALSE),"")</f>
        <v/>
      </c>
      <c r="G13" s="159" t="str">
        <f xml:space="preserve"> IFERROR((H13/F13),"")</f>
        <v/>
      </c>
      <c r="H13" s="160" t="str">
        <f>IFERROR(VLOOKUP(9,'1. Measure Selection'!$A$16:$M$53,13,FALSE),"")</f>
        <v/>
      </c>
      <c r="I13" s="156"/>
      <c r="K13" s="195"/>
    </row>
    <row r="14" spans="1:13" ht="24" customHeight="1">
      <c r="A14" s="154"/>
      <c r="B14" s="558" t="str">
        <f>IFERROR(VLOOKUP(10,'1. Measure Selection'!$A$16:$M$53,3,FALSE),"")</f>
        <v/>
      </c>
      <c r="C14" s="558"/>
      <c r="D14" s="557" t="str">
        <f>IFERROR(VLOOKUP(10,'1. Measure Selection'!$A$16:$M$53,4,FALSE),"")</f>
        <v/>
      </c>
      <c r="E14" s="557"/>
      <c r="F14" s="158" t="str">
        <f>IFERROR(VLOOKUP(10,'1. Measure Selection'!$A$16:$M$53,6,FALSE),"")</f>
        <v/>
      </c>
      <c r="G14" s="159" t="str">
        <f xml:space="preserve"> IFERROR((H14/F14),"")</f>
        <v/>
      </c>
      <c r="H14" s="160" t="str">
        <f>IFERROR(VLOOKUP(10,'1. Measure Selection'!$A$16:$M$53,13,FALSE),"")</f>
        <v/>
      </c>
      <c r="I14" s="156"/>
      <c r="K14" s="195"/>
    </row>
    <row r="15" spans="1:13" ht="24" customHeight="1">
      <c r="A15" s="165"/>
      <c r="B15" s="570" t="s">
        <v>26</v>
      </c>
      <c r="C15" s="570"/>
      <c r="D15" s="571" t="s">
        <v>81</v>
      </c>
      <c r="E15" s="571"/>
      <c r="F15" s="166">
        <f>'1. Measure Selection'!N5</f>
        <v>0</v>
      </c>
      <c r="G15" s="159" t="str">
        <f>IFERROR((H15/F15),"")</f>
        <v/>
      </c>
      <c r="H15" s="167">
        <f>F15</f>
        <v>0</v>
      </c>
      <c r="I15" s="572"/>
      <c r="K15" s="195"/>
    </row>
    <row r="16" spans="1:13" ht="20.25">
      <c r="A16" s="165"/>
      <c r="B16" s="168"/>
      <c r="C16" s="168"/>
      <c r="D16" s="169"/>
      <c r="E16" s="169"/>
      <c r="F16" s="170"/>
      <c r="G16" s="171"/>
      <c r="H16" s="172"/>
      <c r="I16" s="572"/>
      <c r="K16" s="195"/>
    </row>
    <row r="17" spans="1:13" ht="18.75" customHeight="1">
      <c r="A17" s="165"/>
      <c r="B17" s="168"/>
      <c r="C17" s="168"/>
      <c r="D17" s="573" t="s">
        <v>27</v>
      </c>
      <c r="E17" s="573"/>
      <c r="F17" s="173">
        <f>SUM(F5:F16)</f>
        <v>0</v>
      </c>
      <c r="G17" s="174" t="s">
        <v>24</v>
      </c>
      <c r="H17" s="175">
        <f ca="1">IF(SUMIF(B5:C15,"PCMH",H5:H15)+SUMIF(B5:C15,"Structural",H5:H15)&gt;180,180,SUMIF(B5:C15,"PCMH",H5:H15)+SUMIF(B5:C15,"Structural",H5:H15))+SUMIF(B5:C15,"eCQM",H5:H15)+SUMIF(B5:C15,"Administrative",H5:H15)</f>
        <v>0</v>
      </c>
      <c r="I17" s="572"/>
      <c r="K17" s="195"/>
    </row>
    <row r="18" spans="1:13">
      <c r="A18" s="154"/>
      <c r="B18" s="155"/>
      <c r="C18" s="155"/>
      <c r="D18" s="155"/>
      <c r="E18" s="155"/>
      <c r="F18" s="155"/>
      <c r="G18" s="176"/>
      <c r="H18" s="155"/>
      <c r="I18" s="156"/>
    </row>
    <row r="19" spans="1:13">
      <c r="A19" s="154"/>
      <c r="B19" s="560" t="s">
        <v>80</v>
      </c>
      <c r="C19" s="560"/>
      <c r="D19" s="560"/>
      <c r="E19" s="560"/>
      <c r="F19" s="560"/>
      <c r="G19" s="560"/>
      <c r="H19" s="561"/>
      <c r="I19" s="156"/>
      <c r="M19" s="177"/>
    </row>
    <row r="20" spans="1:13" ht="8.25" customHeight="1">
      <c r="A20" s="154"/>
      <c r="B20" s="560"/>
      <c r="C20" s="560"/>
      <c r="D20" s="560"/>
      <c r="E20" s="560"/>
      <c r="F20" s="560"/>
      <c r="G20" s="560"/>
      <c r="H20" s="561"/>
      <c r="I20" s="156"/>
    </row>
    <row r="21" spans="1:13" ht="8.25" customHeight="1">
      <c r="A21" s="154"/>
      <c r="B21" s="560"/>
      <c r="C21" s="560"/>
      <c r="D21" s="560"/>
      <c r="E21" s="560"/>
      <c r="F21" s="560"/>
      <c r="G21" s="560"/>
      <c r="H21" s="561"/>
      <c r="I21" s="156"/>
    </row>
    <row r="22" spans="1:13" ht="7.5" customHeight="1">
      <c r="A22" s="154"/>
      <c r="B22" s="178"/>
      <c r="C22" s="178"/>
      <c r="D22" s="178"/>
      <c r="E22" s="178"/>
      <c r="F22" s="179"/>
      <c r="G22" s="180"/>
      <c r="H22" s="180"/>
      <c r="I22" s="156"/>
    </row>
    <row r="23" spans="1:13" ht="12.75" customHeight="1">
      <c r="A23" s="154"/>
      <c r="B23" s="554" t="s">
        <v>366</v>
      </c>
      <c r="C23" s="554"/>
      <c r="D23" s="554"/>
      <c r="E23" s="556">
        <f ca="1">IF(SUMIF(B5:C15,"PCMH",H5:H15)+SUMIF(B5:C15,"Structural",F5:F15)&gt;180,180,SUMIF(B5:C15,"PCMH",H5:H15)+SUMIF(B5:C15,"Structural",H5:H15))</f>
        <v>0</v>
      </c>
      <c r="F23" s="556"/>
      <c r="G23" s="556"/>
      <c r="H23" s="556"/>
      <c r="I23" s="156"/>
    </row>
    <row r="24" spans="1:13" ht="12.75" customHeight="1">
      <c r="A24" s="154"/>
      <c r="B24" s="554"/>
      <c r="C24" s="554"/>
      <c r="D24" s="554"/>
      <c r="E24" s="556"/>
      <c r="F24" s="556"/>
      <c r="G24" s="556"/>
      <c r="H24" s="556"/>
      <c r="I24" s="156"/>
    </row>
    <row r="25" spans="1:13" ht="12.75" customHeight="1">
      <c r="A25" s="154"/>
      <c r="B25" s="554"/>
      <c r="C25" s="554"/>
      <c r="D25" s="554"/>
      <c r="E25" s="556"/>
      <c r="F25" s="556"/>
      <c r="G25" s="556"/>
      <c r="H25" s="556"/>
      <c r="I25" s="181"/>
    </row>
    <row r="26" spans="1:13" ht="6.75" customHeight="1">
      <c r="A26" s="154"/>
      <c r="B26" s="178"/>
      <c r="C26" s="178"/>
      <c r="D26" s="178"/>
      <c r="E26" s="178"/>
      <c r="F26" s="182"/>
      <c r="G26" s="182"/>
      <c r="H26" s="180"/>
      <c r="I26" s="181"/>
    </row>
    <row r="27" spans="1:13" ht="12.75" customHeight="1">
      <c r="A27" s="154"/>
      <c r="B27" s="555" t="s">
        <v>28</v>
      </c>
      <c r="C27" s="555"/>
      <c r="D27" s="555"/>
      <c r="E27" s="556">
        <f ca="1">SUMIF(B5:C15,"eCQM",H5:H15)+SUMIF(B5:C15,"Administrative",H5:H15)</f>
        <v>0</v>
      </c>
      <c r="F27" s="556"/>
      <c r="G27" s="556"/>
      <c r="H27" s="556"/>
      <c r="I27" s="181"/>
    </row>
    <row r="28" spans="1:13" ht="12.75" customHeight="1">
      <c r="A28" s="154"/>
      <c r="B28" s="555"/>
      <c r="C28" s="555"/>
      <c r="D28" s="555"/>
      <c r="E28" s="556"/>
      <c r="F28" s="556"/>
      <c r="G28" s="556"/>
      <c r="H28" s="556"/>
      <c r="I28" s="181"/>
    </row>
    <row r="29" spans="1:13" ht="12.75" customHeight="1">
      <c r="A29" s="154"/>
      <c r="B29" s="555"/>
      <c r="C29" s="555"/>
      <c r="D29" s="555"/>
      <c r="E29" s="556"/>
      <c r="F29" s="556"/>
      <c r="G29" s="556"/>
      <c r="H29" s="556"/>
      <c r="I29" s="181"/>
    </row>
    <row r="30" spans="1:13" ht="26.25">
      <c r="A30" s="154"/>
      <c r="B30" s="183"/>
      <c r="C30" s="183"/>
      <c r="D30" s="183"/>
      <c r="E30" s="184"/>
      <c r="F30" s="180"/>
      <c r="G30" s="185"/>
      <c r="H30" s="185"/>
      <c r="I30" s="181"/>
    </row>
    <row r="31" spans="1:13" ht="24.75" customHeight="1">
      <c r="A31" s="186"/>
      <c r="B31" s="187"/>
      <c r="C31" s="187"/>
      <c r="D31" s="187"/>
      <c r="E31" s="553"/>
      <c r="F31" s="553"/>
      <c r="G31" s="553"/>
      <c r="H31" s="553"/>
      <c r="I31" s="188"/>
    </row>
    <row r="32" spans="1:13" s="145" customFormat="1" ht="12.75" customHeight="1"/>
    <row r="33" s="145" customFormat="1"/>
    <row r="34" s="145" customFormat="1"/>
    <row r="35" s="145" customFormat="1"/>
    <row r="36" s="145" customFormat="1"/>
    <row r="37" s="145" customFormat="1"/>
    <row r="38" s="145" customFormat="1"/>
    <row r="39" s="145" customFormat="1"/>
    <row r="40" s="145" customFormat="1"/>
    <row r="41" s="145" customFormat="1"/>
    <row r="42" s="145" customFormat="1"/>
    <row r="43" s="145" customFormat="1"/>
    <row r="44" s="145" customFormat="1"/>
    <row r="45" s="145" customFormat="1"/>
    <row r="46" s="145" customFormat="1"/>
    <row r="47" s="145" customFormat="1"/>
    <row r="48" s="145" customFormat="1"/>
    <row r="49" s="145" customFormat="1"/>
    <row r="50" s="145" customFormat="1"/>
    <row r="51" s="145" customFormat="1"/>
    <row r="52" s="145" customFormat="1"/>
    <row r="53" s="145" customFormat="1"/>
    <row r="54" s="145" customFormat="1"/>
    <row r="55" s="145" customFormat="1"/>
    <row r="56" s="145" customFormat="1"/>
    <row r="57" s="145" customFormat="1"/>
    <row r="58" s="145" customFormat="1"/>
    <row r="59" s="145" customFormat="1"/>
    <row r="60" s="145" customFormat="1"/>
    <row r="61" s="145" customFormat="1"/>
    <row r="62" s="145" customFormat="1"/>
    <row r="63" s="145" customFormat="1"/>
    <row r="64"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row r="435" s="145" customFormat="1"/>
  </sheetData>
  <sheetProtection algorithmName="SHA-512" hashValue="B+CEyv8SCcSLPP+eeLMDql4VkZYcj587dF1j5nbBLdbezx3gOx5e3Kegls+AXGACAG7SBKZxVVtwDwdtFER99Q==" saltValue="wWFNd8Fw7RA+O8kvlyXvUg==" spinCount="100000" sheet="1" objects="1" scenarios="1"/>
  <mergeCells count="35">
    <mergeCell ref="L4:M7"/>
    <mergeCell ref="B5:C5"/>
    <mergeCell ref="D5:E5"/>
    <mergeCell ref="B6:C6"/>
    <mergeCell ref="D6:E6"/>
    <mergeCell ref="K10:K11"/>
    <mergeCell ref="B19:H21"/>
    <mergeCell ref="B10:C10"/>
    <mergeCell ref="D10:E10"/>
    <mergeCell ref="A1:I2"/>
    <mergeCell ref="B4:C4"/>
    <mergeCell ref="D4:E4"/>
    <mergeCell ref="B7:C7"/>
    <mergeCell ref="D7:E7"/>
    <mergeCell ref="B15:C15"/>
    <mergeCell ref="D15:E15"/>
    <mergeCell ref="I15:I17"/>
    <mergeCell ref="D17:E17"/>
    <mergeCell ref="B8:C8"/>
    <mergeCell ref="D8:E8"/>
    <mergeCell ref="B9:C9"/>
    <mergeCell ref="D9:E9"/>
    <mergeCell ref="B14:C14"/>
    <mergeCell ref="D14:E14"/>
    <mergeCell ref="B11:C11"/>
    <mergeCell ref="D11:E11"/>
    <mergeCell ref="B12:C12"/>
    <mergeCell ref="D12:E12"/>
    <mergeCell ref="B13:C13"/>
    <mergeCell ref="D13:E13"/>
    <mergeCell ref="E31:H31"/>
    <mergeCell ref="B23:D25"/>
    <mergeCell ref="B27:D29"/>
    <mergeCell ref="E23:H25"/>
    <mergeCell ref="E27:H29"/>
  </mergeCells>
  <conditionalFormatting sqref="G5:G15">
    <cfRule type="dataBar" priority="3">
      <dataBar>
        <cfvo type="min"/>
        <cfvo type="num" val="1"/>
        <color rgb="FFFFC000"/>
      </dataBar>
      <extLst>
        <ext xmlns:x14="http://schemas.microsoft.com/office/spreadsheetml/2009/9/main" uri="{B025F937-C7B1-47D3-B67F-A62EFF666E3E}">
          <x14:id>{F8CAC6EF-F821-4634-AA61-327D7A38E60A}</x14:id>
        </ext>
      </extLst>
    </cfRule>
  </conditionalFormatting>
  <pageMargins left="0.7" right="0.7" top="0.75" bottom="0.75" header="0.3" footer="0.3"/>
  <pageSetup scale="84" orientation="portrait" horizontalDpi="1200" verticalDpi="12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dataBar" id="{F8CAC6EF-F821-4634-AA61-327D7A38E60A}">
            <x14:dataBar minLength="0" maxLength="100" gradient="0">
              <x14:cfvo type="autoMin"/>
              <x14:cfvo type="num">
                <xm:f>1</xm:f>
              </x14:cfvo>
              <x14:negativeFillColor rgb="FFFF0000"/>
              <x14:axisColor rgb="FF000000"/>
            </x14:dataBar>
          </x14:cfRule>
          <xm:sqref>G5:G15</xm:sqref>
        </x14:conditionalFormatting>
      </x14:conditionalFormattings>
    </ext>
    <ext xmlns:x14="http://schemas.microsoft.com/office/spreadsheetml/2009/9/main" uri="{05C60535-1F16-4fd2-B633-F4F36F0B64E0}">
      <x14:sparklineGroups xmlns:xm="http://schemas.microsoft.com/office/excel/2006/main">
        <x14:sparklineGroup displayEmptyCellsAs="gap" xr2:uid="{00000000-0003-0000-0400-000000000000}">
          <x14:colorSeries rgb="FF376092"/>
          <x14:colorNegative rgb="FFD00000"/>
          <x14:colorAxis rgb="FF000000"/>
          <x14:colorMarkers rgb="FFD00000"/>
          <x14:colorFirst rgb="FFD00000"/>
          <x14:colorLast rgb="FFD00000"/>
          <x14:colorHigh rgb="FFD00000"/>
          <x14:colorLow rgb="FFD00000"/>
          <x14:sparklines>
            <x14:sparkline>
              <xm:f>'3. Dashboard'!F5:F5</xm:f>
              <xm:sqref>L4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249977111117893"/>
  </sheetPr>
  <dimension ref="A1:BN602"/>
  <sheetViews>
    <sheetView topLeftCell="AC1" zoomScale="80" zoomScaleNormal="80" workbookViewId="0">
      <selection sqref="A1:AB1048576"/>
    </sheetView>
  </sheetViews>
  <sheetFormatPr defaultRowHeight="15"/>
  <cols>
    <col min="1" max="1" width="17" hidden="1" customWidth="1"/>
    <col min="2" max="2" width="21.42578125" hidden="1" customWidth="1"/>
    <col min="3" max="3" width="74.28515625" hidden="1" customWidth="1"/>
    <col min="4" max="4" width="74.85546875" hidden="1" customWidth="1"/>
    <col min="5" max="5" width="48.5703125" hidden="1" customWidth="1"/>
    <col min="6" max="6" width="83.7109375" hidden="1" customWidth="1"/>
    <col min="7" max="7" width="19.28515625" style="16" hidden="1" customWidth="1"/>
    <col min="8" max="8" width="14.85546875" style="16" hidden="1" customWidth="1"/>
    <col min="9" max="9" width="19.28515625" style="16" hidden="1" customWidth="1"/>
    <col min="10" max="10" width="17.85546875" style="16" hidden="1" customWidth="1"/>
    <col min="11" max="11" width="22.28515625" hidden="1" customWidth="1"/>
    <col min="12" max="12" width="83.7109375" hidden="1" customWidth="1"/>
    <col min="13" max="13" width="19.28515625" hidden="1" customWidth="1"/>
    <col min="14" max="14" width="14.85546875" hidden="1" customWidth="1"/>
    <col min="15" max="15" width="19.28515625" hidden="1" customWidth="1"/>
    <col min="16" max="16" width="17.85546875" hidden="1" customWidth="1"/>
    <col min="17" max="19" width="9.140625" hidden="1" customWidth="1"/>
    <col min="20" max="20" width="9.28515625" hidden="1" customWidth="1"/>
    <col min="21" max="21" width="61.42578125" hidden="1" customWidth="1"/>
    <col min="22" max="22" width="118.42578125" hidden="1" customWidth="1"/>
    <col min="23" max="23" width="4.5703125" hidden="1" customWidth="1"/>
    <col min="24" max="26" width="9.140625" hidden="1" customWidth="1"/>
    <col min="27" max="27" width="1.28515625" hidden="1" customWidth="1"/>
    <col min="28" max="28" width="60" hidden="1" customWidth="1"/>
    <col min="29" max="31" width="9.140625" customWidth="1"/>
  </cols>
  <sheetData>
    <row r="1" spans="1:28" ht="15" customHeight="1">
      <c r="A1" s="293" t="s">
        <v>87</v>
      </c>
      <c r="B1" s="289" t="s">
        <v>459</v>
      </c>
      <c r="F1" s="62"/>
      <c r="G1" s="123"/>
      <c r="H1" s="123"/>
      <c r="I1" s="123"/>
      <c r="J1" s="123"/>
      <c r="K1" s="5"/>
      <c r="L1" s="5"/>
      <c r="M1" s="5"/>
      <c r="N1" s="5"/>
      <c r="O1" s="5"/>
      <c r="P1" s="5"/>
    </row>
    <row r="2" spans="1:28" ht="15" customHeight="1">
      <c r="A2" s="294" t="s">
        <v>124</v>
      </c>
      <c r="D2" s="5"/>
    </row>
    <row r="3" spans="1:28" ht="15" customHeight="1">
      <c r="A3" s="294" t="s">
        <v>118</v>
      </c>
      <c r="E3" s="578" t="s">
        <v>379</v>
      </c>
      <c r="F3" s="579"/>
      <c r="G3" s="579"/>
      <c r="H3" s="579"/>
      <c r="I3" s="579"/>
      <c r="J3" s="579"/>
      <c r="K3" s="578" t="s">
        <v>380</v>
      </c>
      <c r="L3" s="579"/>
      <c r="M3" s="579"/>
      <c r="N3" s="579"/>
      <c r="O3" s="579"/>
      <c r="P3" s="579"/>
    </row>
    <row r="4" spans="1:28" ht="30.75" thickBot="1">
      <c r="A4" s="294" t="s">
        <v>119</v>
      </c>
      <c r="E4" s="212" t="s">
        <v>381</v>
      </c>
      <c r="F4" s="212" t="s">
        <v>383</v>
      </c>
      <c r="G4" s="213" t="s">
        <v>20</v>
      </c>
      <c r="H4" s="213" t="s">
        <v>4</v>
      </c>
      <c r="I4" s="213" t="s">
        <v>19</v>
      </c>
      <c r="J4" s="238" t="s">
        <v>374</v>
      </c>
      <c r="K4" s="245" t="s">
        <v>381</v>
      </c>
      <c r="L4" s="212" t="s">
        <v>384</v>
      </c>
      <c r="M4" s="213" t="s">
        <v>20</v>
      </c>
      <c r="N4" s="213" t="s">
        <v>4</v>
      </c>
      <c r="O4" s="213" t="s">
        <v>377</v>
      </c>
      <c r="P4" s="213" t="s">
        <v>374</v>
      </c>
      <c r="T4" s="323" t="s">
        <v>497</v>
      </c>
      <c r="U4" s="320" t="s">
        <v>474</v>
      </c>
      <c r="V4" s="321" t="s">
        <v>469</v>
      </c>
    </row>
    <row r="5" spans="1:28" ht="15.75" thickBot="1">
      <c r="A5" s="294" t="s">
        <v>112</v>
      </c>
      <c r="D5" s="580" t="s">
        <v>375</v>
      </c>
      <c r="E5" s="210" t="s">
        <v>6</v>
      </c>
      <c r="F5" s="201" t="s">
        <v>567</v>
      </c>
      <c r="G5" s="373">
        <v>0.9</v>
      </c>
      <c r="H5" s="205" t="s">
        <v>557</v>
      </c>
      <c r="I5" s="206">
        <v>35</v>
      </c>
      <c r="J5" s="239" t="s">
        <v>520</v>
      </c>
      <c r="K5" s="246" t="s">
        <v>6</v>
      </c>
      <c r="L5" s="204" t="s">
        <v>570</v>
      </c>
      <c r="M5" s="376">
        <v>0.28000000000000003</v>
      </c>
      <c r="N5" s="205" t="s">
        <v>558</v>
      </c>
      <c r="O5" s="206">
        <v>35</v>
      </c>
      <c r="P5" s="215" t="s">
        <v>382</v>
      </c>
      <c r="T5" s="583">
        <v>1</v>
      </c>
      <c r="U5" s="313" t="s">
        <v>475</v>
      </c>
      <c r="V5" s="313" t="s">
        <v>515</v>
      </c>
      <c r="W5" t="s">
        <v>533</v>
      </c>
      <c r="AB5" s="194" t="s">
        <v>42</v>
      </c>
    </row>
    <row r="6" spans="1:28">
      <c r="A6" s="294" t="s">
        <v>395</v>
      </c>
      <c r="D6" s="581"/>
      <c r="E6" s="210" t="s">
        <v>18</v>
      </c>
      <c r="F6" s="201" t="s">
        <v>567</v>
      </c>
      <c r="G6" s="373">
        <v>0.9</v>
      </c>
      <c r="H6" s="202" t="s">
        <v>415</v>
      </c>
      <c r="I6" s="203">
        <v>35</v>
      </c>
      <c r="J6" s="240" t="s">
        <v>520</v>
      </c>
      <c r="K6" s="247" t="s">
        <v>18</v>
      </c>
      <c r="L6" s="204" t="s">
        <v>570</v>
      </c>
      <c r="M6" s="374">
        <v>0.35</v>
      </c>
      <c r="N6" s="202" t="s">
        <v>414</v>
      </c>
      <c r="O6" s="203">
        <v>35</v>
      </c>
      <c r="P6" s="216" t="s">
        <v>382</v>
      </c>
      <c r="T6" s="583"/>
      <c r="U6" s="313" t="s">
        <v>476</v>
      </c>
      <c r="V6" s="313" t="s">
        <v>504</v>
      </c>
      <c r="W6" t="s">
        <v>534</v>
      </c>
      <c r="AB6" s="192" t="s">
        <v>40</v>
      </c>
    </row>
    <row r="7" spans="1:28">
      <c r="A7" s="294" t="s">
        <v>102</v>
      </c>
      <c r="D7" s="581"/>
      <c r="E7" s="210" t="s">
        <v>6</v>
      </c>
      <c r="F7" s="201" t="s">
        <v>568</v>
      </c>
      <c r="G7" s="374" t="s">
        <v>401</v>
      </c>
      <c r="H7" s="202" t="s">
        <v>582</v>
      </c>
      <c r="I7" s="203">
        <v>35</v>
      </c>
      <c r="J7" s="240" t="s">
        <v>373</v>
      </c>
      <c r="K7" s="247" t="s">
        <v>18</v>
      </c>
      <c r="L7" s="201" t="s">
        <v>571</v>
      </c>
      <c r="M7" s="374">
        <v>0.42</v>
      </c>
      <c r="N7" s="202" t="s">
        <v>409</v>
      </c>
      <c r="O7" s="203">
        <v>35</v>
      </c>
      <c r="P7" s="216" t="s">
        <v>382</v>
      </c>
      <c r="T7" s="583"/>
      <c r="U7" s="313" t="s">
        <v>476</v>
      </c>
      <c r="V7" s="313" t="s">
        <v>505</v>
      </c>
      <c r="W7" t="s">
        <v>535</v>
      </c>
      <c r="AB7" s="192" t="s">
        <v>41</v>
      </c>
    </row>
    <row r="8" spans="1:28">
      <c r="A8" s="294" t="s">
        <v>123</v>
      </c>
      <c r="D8" s="581"/>
      <c r="E8" s="210" t="s">
        <v>18</v>
      </c>
      <c r="F8" s="201" t="s">
        <v>568</v>
      </c>
      <c r="G8" s="374" t="s">
        <v>401</v>
      </c>
      <c r="H8" s="202" t="s">
        <v>461</v>
      </c>
      <c r="I8" s="203">
        <v>35</v>
      </c>
      <c r="J8" s="240" t="s">
        <v>373</v>
      </c>
      <c r="K8" s="247" t="s">
        <v>18</v>
      </c>
      <c r="L8" s="201" t="s">
        <v>572</v>
      </c>
      <c r="M8" s="373">
        <v>0.57999999999999996</v>
      </c>
      <c r="N8" s="202" t="s">
        <v>412</v>
      </c>
      <c r="O8" s="203">
        <v>35</v>
      </c>
      <c r="P8" s="216" t="s">
        <v>382</v>
      </c>
      <c r="T8" s="322">
        <v>2</v>
      </c>
      <c r="U8" s="316" t="s">
        <v>485</v>
      </c>
      <c r="V8" s="316" t="s">
        <v>486</v>
      </c>
      <c r="W8" t="s">
        <v>536</v>
      </c>
      <c r="AB8" s="193"/>
    </row>
    <row r="9" spans="1:28">
      <c r="A9" s="294" t="s">
        <v>110</v>
      </c>
      <c r="D9" s="581"/>
      <c r="E9" s="210" t="s">
        <v>6</v>
      </c>
      <c r="F9" s="201" t="s">
        <v>575</v>
      </c>
      <c r="G9" s="374">
        <v>0.68</v>
      </c>
      <c r="H9" s="203" t="s">
        <v>560</v>
      </c>
      <c r="I9" s="203">
        <v>35</v>
      </c>
      <c r="J9" s="240" t="s">
        <v>373</v>
      </c>
      <c r="K9" s="247" t="s">
        <v>18</v>
      </c>
      <c r="L9" s="201" t="s">
        <v>573</v>
      </c>
      <c r="M9" s="374" t="s">
        <v>519</v>
      </c>
      <c r="N9" s="202" t="s">
        <v>413</v>
      </c>
      <c r="O9" s="203">
        <v>35</v>
      </c>
      <c r="P9" s="216" t="s">
        <v>382</v>
      </c>
      <c r="T9" s="584">
        <v>3</v>
      </c>
      <c r="U9" s="315" t="s">
        <v>477</v>
      </c>
      <c r="V9" s="315" t="s">
        <v>470</v>
      </c>
      <c r="W9" t="s">
        <v>537</v>
      </c>
      <c r="AB9" s="5"/>
    </row>
    <row r="10" spans="1:28">
      <c r="A10" s="294" t="s">
        <v>99</v>
      </c>
      <c r="D10" s="582"/>
      <c r="E10" s="210" t="s">
        <v>18</v>
      </c>
      <c r="F10" s="201" t="s">
        <v>569</v>
      </c>
      <c r="G10" s="373">
        <v>0.69</v>
      </c>
      <c r="H10" s="203" t="s">
        <v>462</v>
      </c>
      <c r="I10" s="203">
        <v>35</v>
      </c>
      <c r="J10" s="240" t="s">
        <v>373</v>
      </c>
      <c r="K10" s="247" t="s">
        <v>6</v>
      </c>
      <c r="L10" s="201" t="s">
        <v>574</v>
      </c>
      <c r="M10" s="374">
        <v>0.9</v>
      </c>
      <c r="N10" s="202" t="s">
        <v>557</v>
      </c>
      <c r="O10" s="203">
        <v>35</v>
      </c>
      <c r="P10" s="216" t="s">
        <v>520</v>
      </c>
      <c r="T10" s="584"/>
      <c r="U10" s="315" t="s">
        <v>478</v>
      </c>
      <c r="V10" s="315" t="s">
        <v>481</v>
      </c>
      <c r="W10" t="s">
        <v>538</v>
      </c>
      <c r="AB10" s="5"/>
    </row>
    <row r="11" spans="1:28" ht="15.75" thickBot="1">
      <c r="A11" s="294" t="s">
        <v>117</v>
      </c>
      <c r="D11" s="581"/>
      <c r="E11" s="217"/>
      <c r="F11" s="218"/>
      <c r="G11" s="375"/>
      <c r="H11" s="218"/>
      <c r="I11" s="218"/>
      <c r="J11" s="241"/>
      <c r="K11" s="248" t="s">
        <v>18</v>
      </c>
      <c r="L11" s="219" t="s">
        <v>574</v>
      </c>
      <c r="M11" s="377">
        <v>0.9</v>
      </c>
      <c r="N11" s="220" t="s">
        <v>415</v>
      </c>
      <c r="O11" s="218">
        <v>35</v>
      </c>
      <c r="P11" s="221" t="s">
        <v>520</v>
      </c>
      <c r="T11" s="584"/>
      <c r="U11" s="315" t="s">
        <v>479</v>
      </c>
      <c r="V11" s="315" t="s">
        <v>471</v>
      </c>
      <c r="W11" t="s">
        <v>539</v>
      </c>
      <c r="AB11" s="5"/>
    </row>
    <row r="12" spans="1:28" ht="15" customHeight="1">
      <c r="A12" s="294" t="s">
        <v>105</v>
      </c>
      <c r="D12" s="575" t="s">
        <v>502</v>
      </c>
      <c r="E12" s="246" t="s">
        <v>6</v>
      </c>
      <c r="F12" s="204" t="s">
        <v>570</v>
      </c>
      <c r="G12" s="376">
        <v>0.28000000000000003</v>
      </c>
      <c r="H12" s="205" t="s">
        <v>558</v>
      </c>
      <c r="I12" s="206">
        <v>35</v>
      </c>
      <c r="J12" s="215" t="s">
        <v>382</v>
      </c>
      <c r="K12" s="210" t="s">
        <v>6</v>
      </c>
      <c r="L12" s="201" t="s">
        <v>567</v>
      </c>
      <c r="M12" s="373">
        <v>0.9</v>
      </c>
      <c r="N12" s="205" t="s">
        <v>557</v>
      </c>
      <c r="O12" s="206">
        <v>35</v>
      </c>
      <c r="P12" s="239" t="s">
        <v>520</v>
      </c>
      <c r="T12" s="584"/>
      <c r="U12" s="315" t="s">
        <v>480</v>
      </c>
      <c r="V12" s="315" t="s">
        <v>482</v>
      </c>
      <c r="W12" t="s">
        <v>540</v>
      </c>
      <c r="AB12" s="5"/>
    </row>
    <row r="13" spans="1:28" ht="15" customHeight="1">
      <c r="A13" s="294" t="s">
        <v>421</v>
      </c>
      <c r="D13" s="576"/>
      <c r="E13" s="247" t="s">
        <v>18</v>
      </c>
      <c r="F13" s="201" t="s">
        <v>570</v>
      </c>
      <c r="G13" s="374">
        <v>0.35</v>
      </c>
      <c r="H13" s="202" t="s">
        <v>414</v>
      </c>
      <c r="I13" s="203">
        <v>35</v>
      </c>
      <c r="J13" s="216" t="s">
        <v>382</v>
      </c>
      <c r="K13" s="210" t="s">
        <v>18</v>
      </c>
      <c r="L13" s="201" t="s">
        <v>567</v>
      </c>
      <c r="M13" s="373">
        <v>0.9</v>
      </c>
      <c r="N13" s="202" t="s">
        <v>415</v>
      </c>
      <c r="O13" s="203">
        <v>35</v>
      </c>
      <c r="P13" s="240" t="s">
        <v>520</v>
      </c>
      <c r="T13" s="585">
        <v>4</v>
      </c>
      <c r="U13" s="317" t="s">
        <v>487</v>
      </c>
      <c r="V13" s="317" t="s">
        <v>489</v>
      </c>
      <c r="W13" t="s">
        <v>541</v>
      </c>
      <c r="AB13" t="s">
        <v>367</v>
      </c>
    </row>
    <row r="14" spans="1:28" ht="15" customHeight="1">
      <c r="A14" s="294" t="s">
        <v>109</v>
      </c>
      <c r="D14" s="576"/>
      <c r="E14" s="247" t="s">
        <v>18</v>
      </c>
      <c r="F14" s="201" t="s">
        <v>571</v>
      </c>
      <c r="G14" s="374">
        <v>0.42</v>
      </c>
      <c r="H14" s="202" t="s">
        <v>409</v>
      </c>
      <c r="I14" s="203">
        <v>35</v>
      </c>
      <c r="J14" s="216" t="s">
        <v>382</v>
      </c>
      <c r="K14" s="210" t="s">
        <v>6</v>
      </c>
      <c r="L14" s="201" t="s">
        <v>568</v>
      </c>
      <c r="M14" s="374" t="s">
        <v>401</v>
      </c>
      <c r="N14" s="388" t="s">
        <v>582</v>
      </c>
      <c r="O14" s="203">
        <v>35</v>
      </c>
      <c r="P14" s="240" t="s">
        <v>373</v>
      </c>
      <c r="T14" s="585"/>
      <c r="U14" s="317" t="s">
        <v>488</v>
      </c>
      <c r="V14" s="317" t="s">
        <v>490</v>
      </c>
      <c r="W14" t="s">
        <v>542</v>
      </c>
      <c r="AB14" t="s">
        <v>368</v>
      </c>
    </row>
    <row r="15" spans="1:28" ht="15" customHeight="1">
      <c r="A15" s="294" t="s">
        <v>420</v>
      </c>
      <c r="D15" s="576"/>
      <c r="E15" s="247" t="s">
        <v>18</v>
      </c>
      <c r="F15" s="201" t="s">
        <v>572</v>
      </c>
      <c r="G15" s="373">
        <v>0.57999999999999996</v>
      </c>
      <c r="H15" s="202" t="s">
        <v>412</v>
      </c>
      <c r="I15" s="203">
        <v>35</v>
      </c>
      <c r="J15" s="216" t="s">
        <v>382</v>
      </c>
      <c r="K15" s="210" t="s">
        <v>18</v>
      </c>
      <c r="L15" s="201" t="s">
        <v>568</v>
      </c>
      <c r="M15" s="374" t="s">
        <v>401</v>
      </c>
      <c r="N15" s="388" t="s">
        <v>461</v>
      </c>
      <c r="O15" s="203">
        <v>35</v>
      </c>
      <c r="P15" s="240" t="s">
        <v>373</v>
      </c>
      <c r="T15" s="586">
        <v>5</v>
      </c>
      <c r="U15" s="318" t="s">
        <v>483</v>
      </c>
      <c r="V15" s="318" t="s">
        <v>472</v>
      </c>
      <c r="W15" t="s">
        <v>543</v>
      </c>
      <c r="AB15" t="s">
        <v>369</v>
      </c>
    </row>
    <row r="16" spans="1:28" ht="15" customHeight="1">
      <c r="A16" s="294" t="s">
        <v>129</v>
      </c>
      <c r="D16" s="576"/>
      <c r="E16" s="247" t="s">
        <v>18</v>
      </c>
      <c r="F16" s="201" t="s">
        <v>573</v>
      </c>
      <c r="G16" s="374" t="s">
        <v>519</v>
      </c>
      <c r="H16" s="202" t="s">
        <v>413</v>
      </c>
      <c r="I16" s="203">
        <v>35</v>
      </c>
      <c r="J16" s="216" t="s">
        <v>382</v>
      </c>
      <c r="K16" s="210" t="s">
        <v>6</v>
      </c>
      <c r="L16" s="201" t="s">
        <v>575</v>
      </c>
      <c r="M16" s="374">
        <v>0.68</v>
      </c>
      <c r="N16" s="203" t="s">
        <v>560</v>
      </c>
      <c r="O16" s="203">
        <v>35</v>
      </c>
      <c r="P16" s="240" t="s">
        <v>373</v>
      </c>
      <c r="T16" s="586"/>
      <c r="U16" s="318" t="s">
        <v>484</v>
      </c>
      <c r="V16" s="318" t="s">
        <v>473</v>
      </c>
      <c r="W16" t="s">
        <v>544</v>
      </c>
    </row>
    <row r="17" spans="1:66" ht="15.75" customHeight="1">
      <c r="A17" s="294" t="s">
        <v>126</v>
      </c>
      <c r="D17" s="577"/>
      <c r="E17" s="247" t="s">
        <v>6</v>
      </c>
      <c r="F17" s="201" t="s">
        <v>574</v>
      </c>
      <c r="G17" s="374">
        <v>0.9</v>
      </c>
      <c r="H17" s="202" t="s">
        <v>557</v>
      </c>
      <c r="I17" s="203">
        <v>35</v>
      </c>
      <c r="J17" s="216" t="s">
        <v>520</v>
      </c>
      <c r="K17" s="210" t="s">
        <v>18</v>
      </c>
      <c r="L17" s="201" t="s">
        <v>569</v>
      </c>
      <c r="M17" s="373">
        <v>0.69</v>
      </c>
      <c r="N17" s="203" t="s">
        <v>462</v>
      </c>
      <c r="O17" s="203">
        <v>35</v>
      </c>
      <c r="P17" s="240" t="s">
        <v>373</v>
      </c>
      <c r="T17" s="587">
        <v>6</v>
      </c>
      <c r="U17" s="319" t="s">
        <v>491</v>
      </c>
      <c r="V17" s="319" t="s">
        <v>494</v>
      </c>
      <c r="W17" t="s">
        <v>545</v>
      </c>
    </row>
    <row r="18" spans="1:66" ht="15" customHeight="1" thickBot="1">
      <c r="A18" s="294" t="s">
        <v>125</v>
      </c>
      <c r="D18" s="576"/>
      <c r="E18" s="248" t="s">
        <v>18</v>
      </c>
      <c r="F18" s="219" t="s">
        <v>574</v>
      </c>
      <c r="G18" s="377">
        <v>0.9</v>
      </c>
      <c r="H18" s="220" t="s">
        <v>415</v>
      </c>
      <c r="I18" s="220">
        <v>35</v>
      </c>
      <c r="J18" s="221" t="s">
        <v>520</v>
      </c>
      <c r="K18" s="217"/>
      <c r="L18" s="218"/>
      <c r="M18" s="375"/>
      <c r="N18" s="218"/>
      <c r="O18" s="220"/>
      <c r="P18" s="241"/>
      <c r="T18" s="587"/>
      <c r="U18" s="319" t="s">
        <v>492</v>
      </c>
      <c r="V18" s="319" t="s">
        <v>495</v>
      </c>
      <c r="W18" t="s">
        <v>546</v>
      </c>
    </row>
    <row r="19" spans="1:66" ht="15" customHeight="1">
      <c r="A19" s="294" t="s">
        <v>107</v>
      </c>
      <c r="D19" s="306" t="s">
        <v>376</v>
      </c>
      <c r="E19" s="214" t="s">
        <v>6</v>
      </c>
      <c r="F19" s="222" t="s">
        <v>7</v>
      </c>
      <c r="G19" s="378">
        <v>0.66</v>
      </c>
      <c r="H19" s="205" t="s">
        <v>563</v>
      </c>
      <c r="I19" s="206">
        <v>35</v>
      </c>
      <c r="J19" s="239" t="s">
        <v>373</v>
      </c>
      <c r="K19" s="311" t="s">
        <v>18</v>
      </c>
      <c r="L19" s="308" t="s">
        <v>466</v>
      </c>
      <c r="M19" s="379">
        <v>0.8</v>
      </c>
      <c r="N19" s="309" t="s">
        <v>559</v>
      </c>
      <c r="O19" s="206">
        <v>35</v>
      </c>
      <c r="P19" s="310" t="s">
        <v>382</v>
      </c>
      <c r="T19" s="587"/>
      <c r="U19" s="319" t="s">
        <v>493</v>
      </c>
      <c r="V19" s="319" t="s">
        <v>496</v>
      </c>
      <c r="W19" t="s">
        <v>547</v>
      </c>
    </row>
    <row r="20" spans="1:66" ht="15" customHeight="1">
      <c r="A20" s="294" t="s">
        <v>116</v>
      </c>
      <c r="D20" s="307"/>
      <c r="E20" s="210" t="s">
        <v>18</v>
      </c>
      <c r="F20" s="209" t="s">
        <v>7</v>
      </c>
      <c r="G20" s="373">
        <v>0.6</v>
      </c>
      <c r="H20" s="202" t="s">
        <v>416</v>
      </c>
      <c r="I20" s="203">
        <v>35</v>
      </c>
      <c r="J20" s="240" t="s">
        <v>373</v>
      </c>
      <c r="K20" s="210" t="s">
        <v>18</v>
      </c>
      <c r="L20" s="201" t="s">
        <v>465</v>
      </c>
      <c r="M20" s="374" t="s">
        <v>401</v>
      </c>
      <c r="N20" s="202" t="s">
        <v>561</v>
      </c>
      <c r="O20" s="203">
        <v>35</v>
      </c>
      <c r="P20" s="240" t="s">
        <v>520</v>
      </c>
      <c r="T20" s="385">
        <v>7</v>
      </c>
      <c r="U20" s="314" t="s">
        <v>521</v>
      </c>
      <c r="V20" s="314" t="s">
        <v>549</v>
      </c>
      <c r="W20" t="s">
        <v>548</v>
      </c>
    </row>
    <row r="21" spans="1:66" ht="15" customHeight="1">
      <c r="A21" s="294" t="s">
        <v>92</v>
      </c>
      <c r="D21" s="307"/>
      <c r="E21" s="210" t="s">
        <v>6</v>
      </c>
      <c r="F21" s="201" t="s">
        <v>403</v>
      </c>
      <c r="G21" s="374">
        <v>0.44</v>
      </c>
      <c r="H21" s="202" t="s">
        <v>564</v>
      </c>
      <c r="I21" s="203">
        <v>35</v>
      </c>
      <c r="J21" s="240" t="s">
        <v>373</v>
      </c>
      <c r="K21" s="247" t="s">
        <v>6</v>
      </c>
      <c r="L21" s="208" t="s">
        <v>550</v>
      </c>
      <c r="M21" s="374">
        <v>0.37</v>
      </c>
      <c r="N21" s="202" t="s">
        <v>562</v>
      </c>
      <c r="O21" s="203">
        <v>35</v>
      </c>
      <c r="P21" s="240" t="s">
        <v>520</v>
      </c>
      <c r="T21" s="312"/>
      <c r="U21" s="312"/>
      <c r="V21" s="312"/>
      <c r="W21" s="312"/>
      <c r="AB21" t="s">
        <v>0</v>
      </c>
    </row>
    <row r="22" spans="1:66" ht="15" customHeight="1">
      <c r="A22" s="294" t="s">
        <v>97</v>
      </c>
      <c r="D22" s="307"/>
      <c r="E22" s="210" t="s">
        <v>18</v>
      </c>
      <c r="F22" s="201" t="s">
        <v>403</v>
      </c>
      <c r="G22" s="374">
        <v>0.62</v>
      </c>
      <c r="H22" s="202" t="s">
        <v>410</v>
      </c>
      <c r="I22" s="203">
        <v>35</v>
      </c>
      <c r="J22" s="240" t="s">
        <v>373</v>
      </c>
      <c r="K22" s="247" t="s">
        <v>18</v>
      </c>
      <c r="L22" s="208" t="s">
        <v>550</v>
      </c>
      <c r="M22" s="374">
        <v>0.64</v>
      </c>
      <c r="N22" s="202" t="s">
        <v>411</v>
      </c>
      <c r="O22" s="203">
        <v>35</v>
      </c>
      <c r="P22" s="240" t="s">
        <v>520</v>
      </c>
      <c r="AB22" t="s">
        <v>6</v>
      </c>
    </row>
    <row r="23" spans="1:66" ht="15" customHeight="1">
      <c r="A23" s="294" t="s">
        <v>120</v>
      </c>
      <c r="B23" s="5"/>
      <c r="D23" s="307"/>
      <c r="E23" s="210" t="s">
        <v>6</v>
      </c>
      <c r="F23" s="208" t="s">
        <v>550</v>
      </c>
      <c r="G23" s="374">
        <v>0.37</v>
      </c>
      <c r="H23" s="202" t="s">
        <v>562</v>
      </c>
      <c r="I23" s="203">
        <v>35</v>
      </c>
      <c r="J23" s="240" t="s">
        <v>520</v>
      </c>
      <c r="K23" s="210" t="s">
        <v>6</v>
      </c>
      <c r="L23" s="209" t="s">
        <v>7</v>
      </c>
      <c r="M23" s="373">
        <v>0.66</v>
      </c>
      <c r="N23" s="202" t="s">
        <v>563</v>
      </c>
      <c r="O23" s="203">
        <v>35</v>
      </c>
      <c r="P23" s="240" t="s">
        <v>373</v>
      </c>
      <c r="AB23" t="s">
        <v>18</v>
      </c>
    </row>
    <row r="24" spans="1:66" ht="15" customHeight="1">
      <c r="A24" s="294" t="s">
        <v>115</v>
      </c>
      <c r="B24" s="5"/>
      <c r="D24" s="307"/>
      <c r="E24" s="210" t="s">
        <v>18</v>
      </c>
      <c r="F24" s="208" t="s">
        <v>550</v>
      </c>
      <c r="G24" s="374">
        <v>0.64</v>
      </c>
      <c r="H24" s="202" t="s">
        <v>411</v>
      </c>
      <c r="I24" s="203">
        <v>35</v>
      </c>
      <c r="J24" s="240" t="s">
        <v>520</v>
      </c>
      <c r="K24" s="210" t="s">
        <v>18</v>
      </c>
      <c r="L24" s="209" t="s">
        <v>7</v>
      </c>
      <c r="M24" s="373">
        <v>0.6</v>
      </c>
      <c r="N24" s="202" t="s">
        <v>416</v>
      </c>
      <c r="O24" s="203">
        <v>35</v>
      </c>
      <c r="P24" s="240" t="s">
        <v>373</v>
      </c>
      <c r="AB24" t="s">
        <v>44</v>
      </c>
    </row>
    <row r="25" spans="1:66" ht="15" customHeight="1">
      <c r="A25" s="294" t="s">
        <v>113</v>
      </c>
      <c r="B25" s="5"/>
      <c r="D25" s="307"/>
      <c r="E25" s="210" t="s">
        <v>18</v>
      </c>
      <c r="F25" s="201" t="s">
        <v>465</v>
      </c>
      <c r="G25" s="374" t="s">
        <v>401</v>
      </c>
      <c r="H25" s="202" t="s">
        <v>561</v>
      </c>
      <c r="I25" s="203">
        <v>35</v>
      </c>
      <c r="J25" s="240" t="s">
        <v>520</v>
      </c>
      <c r="K25" s="210" t="s">
        <v>6</v>
      </c>
      <c r="L25" s="201" t="s">
        <v>403</v>
      </c>
      <c r="M25" s="374">
        <v>0.44</v>
      </c>
      <c r="N25" s="202" t="s">
        <v>564</v>
      </c>
      <c r="O25" s="203">
        <v>35</v>
      </c>
      <c r="P25" s="240" t="s">
        <v>373</v>
      </c>
    </row>
    <row r="26" spans="1:66" s="17" customFormat="1" ht="15" customHeight="1">
      <c r="A26" s="294" t="s">
        <v>111</v>
      </c>
      <c r="B26" s="259"/>
      <c r="D26" s="307"/>
      <c r="E26" s="210" t="s">
        <v>6</v>
      </c>
      <c r="F26" s="201" t="s">
        <v>8</v>
      </c>
      <c r="G26" s="374">
        <v>0.6</v>
      </c>
      <c r="H26" s="309" t="s">
        <v>565</v>
      </c>
      <c r="I26" s="203">
        <v>35</v>
      </c>
      <c r="J26" s="240" t="s">
        <v>373</v>
      </c>
      <c r="K26" s="210" t="s">
        <v>18</v>
      </c>
      <c r="L26" s="201" t="s">
        <v>403</v>
      </c>
      <c r="M26" s="374">
        <v>0.62</v>
      </c>
      <c r="N26" s="202" t="s">
        <v>410</v>
      </c>
      <c r="O26" s="203">
        <v>35</v>
      </c>
      <c r="P26" s="240" t="s">
        <v>373</v>
      </c>
      <c r="Q26" s="20"/>
      <c r="R26" s="20"/>
      <c r="S26" s="20"/>
      <c r="T26" s="19"/>
      <c r="U26" s="19"/>
      <c r="V26" s="19"/>
      <c r="W26" s="19"/>
      <c r="X26" s="19"/>
      <c r="Y26" s="19"/>
      <c r="Z26" s="19"/>
      <c r="AA26" s="19"/>
      <c r="AB26" s="19"/>
      <c r="AC26" s="19"/>
      <c r="AD26" s="19"/>
      <c r="AE26" s="19"/>
      <c r="AF26" s="19"/>
      <c r="AG26" s="19"/>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row>
    <row r="27" spans="1:66" s="17" customFormat="1" ht="15" customHeight="1" thickBot="1">
      <c r="A27" s="294" t="s">
        <v>114</v>
      </c>
      <c r="B27" s="259"/>
      <c r="D27" s="307"/>
      <c r="E27" s="305" t="s">
        <v>18</v>
      </c>
      <c r="F27" s="201" t="s">
        <v>466</v>
      </c>
      <c r="G27" s="374">
        <v>0.8</v>
      </c>
      <c r="H27" s="202" t="s">
        <v>559</v>
      </c>
      <c r="I27" s="203">
        <v>35</v>
      </c>
      <c r="J27" s="207" t="s">
        <v>382</v>
      </c>
      <c r="K27" s="210" t="s">
        <v>6</v>
      </c>
      <c r="L27" s="201" t="s">
        <v>8</v>
      </c>
      <c r="M27" s="374">
        <v>0.6</v>
      </c>
      <c r="N27" s="202" t="s">
        <v>565</v>
      </c>
      <c r="O27" s="203">
        <v>35</v>
      </c>
      <c r="P27" s="240" t="s">
        <v>373</v>
      </c>
      <c r="Q27" s="20"/>
      <c r="R27" s="20"/>
      <c r="S27" s="20"/>
      <c r="T27" s="19"/>
      <c r="U27" s="19"/>
      <c r="V27" s="19"/>
      <c r="W27" s="19"/>
      <c r="X27" s="19"/>
      <c r="Y27" s="19"/>
      <c r="Z27" s="19"/>
      <c r="AA27" s="19"/>
      <c r="AB27" s="19"/>
      <c r="AC27" s="19"/>
      <c r="AD27" s="19"/>
      <c r="AE27" s="19"/>
      <c r="AF27" s="19"/>
      <c r="AG27" s="19"/>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row>
    <row r="28" spans="1:66" s="17" customFormat="1" ht="15" customHeight="1">
      <c r="A28" s="294" t="s">
        <v>451</v>
      </c>
      <c r="B28" s="259"/>
      <c r="D28" s="303" t="s">
        <v>378</v>
      </c>
      <c r="E28" s="226" t="s">
        <v>44</v>
      </c>
      <c r="F28" s="227" t="s">
        <v>9</v>
      </c>
      <c r="G28" s="228" t="s">
        <v>45</v>
      </c>
      <c r="H28" s="253" t="s">
        <v>45</v>
      </c>
      <c r="I28" s="131">
        <v>20</v>
      </c>
      <c r="J28" s="242" t="s">
        <v>520</v>
      </c>
      <c r="K28" s="249" t="s">
        <v>44</v>
      </c>
      <c r="L28" s="227" t="s">
        <v>9</v>
      </c>
      <c r="M28" s="380" t="s">
        <v>45</v>
      </c>
      <c r="N28" s="228" t="s">
        <v>45</v>
      </c>
      <c r="O28" s="131">
        <v>20</v>
      </c>
      <c r="P28" s="229" t="s">
        <v>520</v>
      </c>
      <c r="Q28" s="20"/>
      <c r="R28" s="20"/>
      <c r="S28" s="20"/>
      <c r="T28" s="19"/>
      <c r="U28" s="19"/>
      <c r="V28" s="19"/>
      <c r="W28" s="19"/>
      <c r="X28" s="19"/>
      <c r="Y28" s="19"/>
      <c r="Z28" s="19"/>
      <c r="AA28" s="19"/>
      <c r="AB28" s="19"/>
      <c r="AC28" s="19"/>
      <c r="AD28" s="19"/>
      <c r="AE28" s="19"/>
      <c r="AF28" s="19"/>
      <c r="AG28" s="19"/>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row>
    <row r="29" spans="1:66" s="17" customFormat="1" ht="15" customHeight="1">
      <c r="A29" s="294" t="s">
        <v>396</v>
      </c>
      <c r="B29" s="259"/>
      <c r="D29" s="304"/>
      <c r="E29" s="230" t="s">
        <v>44</v>
      </c>
      <c r="F29" s="128" t="s">
        <v>10</v>
      </c>
      <c r="G29" s="122" t="s">
        <v>45</v>
      </c>
      <c r="H29" s="254" t="s">
        <v>45</v>
      </c>
      <c r="I29" s="126">
        <v>20</v>
      </c>
      <c r="J29" s="243" t="s">
        <v>520</v>
      </c>
      <c r="K29" s="250" t="s">
        <v>44</v>
      </c>
      <c r="L29" s="128" t="s">
        <v>10</v>
      </c>
      <c r="M29" s="381" t="s">
        <v>45</v>
      </c>
      <c r="N29" s="122" t="s">
        <v>45</v>
      </c>
      <c r="O29" s="126">
        <v>20</v>
      </c>
      <c r="P29" s="231" t="s">
        <v>520</v>
      </c>
      <c r="Q29" s="20"/>
      <c r="R29" s="20"/>
      <c r="S29" s="20"/>
      <c r="T29" s="19"/>
      <c r="U29" s="19"/>
      <c r="V29" s="19"/>
      <c r="W29" s="19"/>
      <c r="X29" s="19"/>
      <c r="Y29" s="19"/>
      <c r="Z29" s="19"/>
      <c r="AA29" s="19"/>
      <c r="AB29" s="19"/>
      <c r="AC29" s="19"/>
      <c r="AD29" s="19"/>
      <c r="AE29" s="19"/>
      <c r="AF29" s="19"/>
      <c r="AG29" s="19"/>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row>
    <row r="30" spans="1:66" s="17" customFormat="1" ht="15" customHeight="1">
      <c r="A30" s="294" t="s">
        <v>108</v>
      </c>
      <c r="B30" s="259"/>
      <c r="D30" s="304"/>
      <c r="E30" s="230" t="s">
        <v>44</v>
      </c>
      <c r="F30" s="128" t="s">
        <v>11</v>
      </c>
      <c r="G30" s="122" t="s">
        <v>45</v>
      </c>
      <c r="H30" s="254" t="s">
        <v>45</v>
      </c>
      <c r="I30" s="126">
        <v>20</v>
      </c>
      <c r="J30" s="243" t="s">
        <v>520</v>
      </c>
      <c r="K30" s="250" t="s">
        <v>44</v>
      </c>
      <c r="L30" s="128" t="s">
        <v>11</v>
      </c>
      <c r="M30" s="381" t="s">
        <v>45</v>
      </c>
      <c r="N30" s="122" t="s">
        <v>45</v>
      </c>
      <c r="O30" s="126">
        <v>20</v>
      </c>
      <c r="P30" s="231" t="s">
        <v>520</v>
      </c>
      <c r="Q30" s="20"/>
      <c r="R30" s="20"/>
      <c r="S30" s="20"/>
      <c r="T30" s="19"/>
      <c r="U30" s="19"/>
      <c r="V30" s="19"/>
      <c r="W30" s="19"/>
      <c r="X30" s="19"/>
      <c r="Y30" s="19"/>
      <c r="Z30" s="19"/>
      <c r="AA30" s="19"/>
      <c r="AB30" s="19"/>
      <c r="AC30" s="19"/>
      <c r="AD30" s="19"/>
      <c r="AE30" s="19"/>
      <c r="AF30" s="19"/>
      <c r="AG30" s="19"/>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row>
    <row r="31" spans="1:66" s="17" customFormat="1" ht="15.75" customHeight="1">
      <c r="A31" s="294" t="s">
        <v>122</v>
      </c>
      <c r="B31" s="259"/>
      <c r="D31" s="304"/>
      <c r="E31" s="230" t="s">
        <v>44</v>
      </c>
      <c r="F31" s="128" t="s">
        <v>12</v>
      </c>
      <c r="G31" s="122" t="s">
        <v>45</v>
      </c>
      <c r="H31" s="254" t="s">
        <v>45</v>
      </c>
      <c r="I31" s="126">
        <v>20</v>
      </c>
      <c r="J31" s="243" t="s">
        <v>520</v>
      </c>
      <c r="K31" s="250" t="s">
        <v>44</v>
      </c>
      <c r="L31" s="128" t="s">
        <v>12</v>
      </c>
      <c r="M31" s="381" t="s">
        <v>45</v>
      </c>
      <c r="N31" s="122" t="s">
        <v>45</v>
      </c>
      <c r="O31" s="126">
        <v>20</v>
      </c>
      <c r="P31" s="231" t="s">
        <v>520</v>
      </c>
      <c r="Q31" s="20"/>
      <c r="R31" s="20"/>
      <c r="S31" s="20"/>
      <c r="T31" s="19"/>
      <c r="U31" s="19"/>
      <c r="V31" s="19"/>
      <c r="W31" s="19"/>
      <c r="X31" s="19"/>
      <c r="Y31" s="19"/>
      <c r="Z31" s="19"/>
      <c r="AA31" s="19"/>
      <c r="AB31" s="19"/>
      <c r="AC31" s="19"/>
      <c r="AD31" s="19"/>
      <c r="AE31" s="19"/>
      <c r="AF31" s="19"/>
      <c r="AG31" s="19"/>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row>
    <row r="32" spans="1:66" s="17" customFormat="1" ht="15.75" customHeight="1">
      <c r="A32" s="294" t="s">
        <v>121</v>
      </c>
      <c r="B32" s="259"/>
      <c r="D32" s="304"/>
      <c r="E32" s="230" t="s">
        <v>44</v>
      </c>
      <c r="F32" s="128" t="s">
        <v>13</v>
      </c>
      <c r="G32" s="122" t="s">
        <v>45</v>
      </c>
      <c r="H32" s="254" t="s">
        <v>45</v>
      </c>
      <c r="I32" s="126">
        <v>20</v>
      </c>
      <c r="J32" s="243" t="s">
        <v>520</v>
      </c>
      <c r="K32" s="250" t="s">
        <v>44</v>
      </c>
      <c r="L32" s="128" t="s">
        <v>13</v>
      </c>
      <c r="M32" s="381" t="s">
        <v>45</v>
      </c>
      <c r="N32" s="122" t="s">
        <v>45</v>
      </c>
      <c r="O32" s="126">
        <v>20</v>
      </c>
      <c r="P32" s="231" t="s">
        <v>520</v>
      </c>
      <c r="Q32" s="20"/>
      <c r="R32" s="20"/>
      <c r="S32" s="20"/>
      <c r="T32" s="19"/>
      <c r="U32" s="19"/>
      <c r="V32" s="19"/>
      <c r="W32" s="19"/>
      <c r="X32" s="19"/>
      <c r="Y32" s="19"/>
      <c r="Z32" s="19"/>
      <c r="AA32" s="19"/>
      <c r="AB32" s="19"/>
      <c r="AC32" s="19"/>
      <c r="AD32" s="19"/>
      <c r="AE32" s="19"/>
      <c r="AF32" s="19"/>
      <c r="AG32" s="19"/>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row>
    <row r="33" spans="1:66" s="17" customFormat="1" ht="15" customHeight="1">
      <c r="A33" s="294" t="s">
        <v>88</v>
      </c>
      <c r="B33" s="259"/>
      <c r="D33" s="304"/>
      <c r="E33" s="230" t="s">
        <v>44</v>
      </c>
      <c r="F33" s="128" t="s">
        <v>407</v>
      </c>
      <c r="G33" s="122" t="s">
        <v>45</v>
      </c>
      <c r="H33" s="254" t="s">
        <v>45</v>
      </c>
      <c r="I33" s="126">
        <v>20</v>
      </c>
      <c r="J33" s="243" t="s">
        <v>520</v>
      </c>
      <c r="K33" s="250" t="s">
        <v>44</v>
      </c>
      <c r="L33" s="128" t="s">
        <v>407</v>
      </c>
      <c r="M33" s="381" t="s">
        <v>45</v>
      </c>
      <c r="N33" s="122" t="s">
        <v>45</v>
      </c>
      <c r="O33" s="126">
        <v>20</v>
      </c>
      <c r="P33" s="231" t="s">
        <v>520</v>
      </c>
      <c r="Q33" s="20"/>
      <c r="R33" s="20"/>
      <c r="S33" s="20"/>
      <c r="T33" s="19"/>
      <c r="U33" s="19"/>
      <c r="V33" s="19"/>
      <c r="W33" s="19"/>
      <c r="X33" s="19"/>
      <c r="Y33" s="19"/>
      <c r="Z33" s="19"/>
      <c r="AA33" s="19"/>
      <c r="AB33" s="19"/>
      <c r="AC33" s="19"/>
      <c r="AD33" s="19"/>
      <c r="AE33" s="19"/>
      <c r="AF33" s="19"/>
      <c r="AG33" s="19"/>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row>
    <row r="34" spans="1:66" s="17" customFormat="1" ht="15" customHeight="1">
      <c r="A34" s="294" t="s">
        <v>106</v>
      </c>
      <c r="B34" s="259"/>
      <c r="D34" s="304"/>
      <c r="E34" s="232" t="s">
        <v>44</v>
      </c>
      <c r="F34" s="126" t="s">
        <v>14</v>
      </c>
      <c r="G34" s="122" t="s">
        <v>45</v>
      </c>
      <c r="H34" s="254" t="s">
        <v>45</v>
      </c>
      <c r="I34" s="126">
        <v>20</v>
      </c>
      <c r="J34" s="243" t="s">
        <v>520</v>
      </c>
      <c r="K34" s="251" t="s">
        <v>44</v>
      </c>
      <c r="L34" s="126" t="s">
        <v>14</v>
      </c>
      <c r="M34" s="381" t="s">
        <v>45</v>
      </c>
      <c r="N34" s="122" t="s">
        <v>45</v>
      </c>
      <c r="O34" s="126">
        <v>20</v>
      </c>
      <c r="P34" s="231" t="s">
        <v>520</v>
      </c>
      <c r="Q34" s="20"/>
      <c r="R34" s="20"/>
      <c r="S34" s="20"/>
      <c r="T34" s="19"/>
      <c r="U34" s="19"/>
      <c r="V34" s="19"/>
      <c r="W34" s="19"/>
      <c r="X34" s="19"/>
      <c r="Y34" s="19"/>
      <c r="Z34" s="19"/>
      <c r="AA34" s="19"/>
      <c r="AB34" s="19"/>
      <c r="AC34" s="19"/>
      <c r="AD34" s="19"/>
      <c r="AE34" s="19"/>
      <c r="AF34" s="19"/>
      <c r="AG34" s="19"/>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row>
    <row r="35" spans="1:66" s="17" customFormat="1" ht="15" customHeight="1">
      <c r="A35" s="294" t="s">
        <v>90</v>
      </c>
      <c r="B35" s="259"/>
      <c r="D35" s="304"/>
      <c r="E35" s="232" t="s">
        <v>44</v>
      </c>
      <c r="F35" s="126" t="s">
        <v>406</v>
      </c>
      <c r="G35" s="122" t="s">
        <v>45</v>
      </c>
      <c r="H35" s="254" t="s">
        <v>45</v>
      </c>
      <c r="I35" s="126">
        <v>20</v>
      </c>
      <c r="J35" s="243" t="s">
        <v>520</v>
      </c>
      <c r="K35" s="251" t="s">
        <v>44</v>
      </c>
      <c r="L35" s="126" t="s">
        <v>406</v>
      </c>
      <c r="M35" s="381" t="s">
        <v>45</v>
      </c>
      <c r="N35" s="122" t="s">
        <v>45</v>
      </c>
      <c r="O35" s="126">
        <v>20</v>
      </c>
      <c r="P35" s="231" t="s">
        <v>520</v>
      </c>
      <c r="Q35" s="20"/>
      <c r="R35" s="20"/>
      <c r="S35" s="20"/>
      <c r="T35" s="19"/>
      <c r="U35" s="19"/>
      <c r="V35" s="19"/>
      <c r="W35" s="19"/>
      <c r="X35" s="19"/>
      <c r="Y35" s="19"/>
      <c r="Z35" s="19"/>
      <c r="AA35" s="19"/>
      <c r="AB35" s="19"/>
      <c r="AC35" s="19"/>
      <c r="AD35" s="19"/>
      <c r="AE35" s="19"/>
      <c r="AF35" s="19"/>
      <c r="AG35" s="19"/>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row>
    <row r="36" spans="1:66" s="17" customFormat="1" ht="15" customHeight="1" thickBot="1">
      <c r="A36" s="294" t="s">
        <v>89</v>
      </c>
      <c r="B36" s="259"/>
      <c r="D36" s="304"/>
      <c r="E36" s="233" t="s">
        <v>44</v>
      </c>
      <c r="F36" s="234" t="s">
        <v>15</v>
      </c>
      <c r="G36" s="235" t="s">
        <v>45</v>
      </c>
      <c r="H36" s="255" t="s">
        <v>45</v>
      </c>
      <c r="I36" s="234">
        <v>20</v>
      </c>
      <c r="J36" s="244" t="s">
        <v>520</v>
      </c>
      <c r="K36" s="252" t="s">
        <v>44</v>
      </c>
      <c r="L36" s="234" t="s">
        <v>15</v>
      </c>
      <c r="M36" s="382" t="s">
        <v>45</v>
      </c>
      <c r="N36" s="235" t="s">
        <v>45</v>
      </c>
      <c r="O36" s="234">
        <v>20</v>
      </c>
      <c r="P36" s="236" t="s">
        <v>520</v>
      </c>
      <c r="Q36" s="20"/>
      <c r="R36" s="20"/>
      <c r="S36" s="20"/>
      <c r="T36" s="19"/>
      <c r="U36" s="19"/>
      <c r="V36" s="19"/>
      <c r="W36" s="19"/>
      <c r="X36" s="19"/>
      <c r="Y36" s="19"/>
      <c r="Z36" s="19"/>
      <c r="AA36" s="19"/>
      <c r="AB36" s="19"/>
      <c r="AC36" s="19"/>
      <c r="AD36" s="19"/>
      <c r="AE36" s="19"/>
      <c r="AF36" s="19"/>
      <c r="AG36" s="19"/>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row>
    <row r="37" spans="1:66" ht="15" customHeight="1">
      <c r="A37" s="294" t="s">
        <v>128</v>
      </c>
      <c r="B37" s="5"/>
    </row>
    <row r="38" spans="1:66" ht="15" customHeight="1">
      <c r="A38" s="294" t="s">
        <v>91</v>
      </c>
      <c r="B38" s="5"/>
    </row>
    <row r="39" spans="1:66" ht="15" customHeight="1">
      <c r="A39" s="294" t="s">
        <v>96</v>
      </c>
      <c r="B39" s="5"/>
    </row>
    <row r="40" spans="1:66" ht="15" customHeight="1">
      <c r="A40" s="294" t="s">
        <v>93</v>
      </c>
    </row>
    <row r="41" spans="1:66" ht="15" customHeight="1">
      <c r="A41" s="294" t="s">
        <v>98</v>
      </c>
    </row>
    <row r="42" spans="1:66">
      <c r="A42" s="294" t="s">
        <v>104</v>
      </c>
    </row>
    <row r="43" spans="1:66">
      <c r="A43" s="294" t="s">
        <v>393</v>
      </c>
    </row>
    <row r="44" spans="1:66">
      <c r="A44" s="294" t="s">
        <v>145</v>
      </c>
    </row>
    <row r="45" spans="1:66">
      <c r="A45" s="294" t="s">
        <v>132</v>
      </c>
    </row>
    <row r="46" spans="1:66">
      <c r="A46" s="294" t="s">
        <v>133</v>
      </c>
    </row>
    <row r="47" spans="1:66" ht="15.75" customHeight="1">
      <c r="A47" s="294" t="s">
        <v>147</v>
      </c>
    </row>
    <row r="48" spans="1:66" ht="19.5">
      <c r="A48" s="294" t="s">
        <v>136</v>
      </c>
      <c r="E48" s="198" t="s">
        <v>372</v>
      </c>
      <c r="F48" s="198"/>
      <c r="K48" s="5"/>
      <c r="M48" s="5"/>
      <c r="N48" s="5"/>
      <c r="O48" s="5"/>
      <c r="P48" s="5"/>
    </row>
    <row r="49" spans="1:22" ht="20.25" thickBot="1">
      <c r="A49" s="294" t="s">
        <v>148</v>
      </c>
      <c r="C49" t="s">
        <v>586</v>
      </c>
      <c r="D49" t="s">
        <v>587</v>
      </c>
      <c r="E49" s="63" t="s">
        <v>33</v>
      </c>
      <c r="F49" s="198"/>
      <c r="G49" s="199" t="s">
        <v>20</v>
      </c>
      <c r="H49" s="199" t="s">
        <v>63</v>
      </c>
      <c r="I49" s="199" t="s">
        <v>67</v>
      </c>
      <c r="J49" s="199" t="s">
        <v>66</v>
      </c>
      <c r="K49" s="63" t="s">
        <v>34</v>
      </c>
      <c r="L49" s="258"/>
      <c r="M49" s="199" t="s">
        <v>20</v>
      </c>
      <c r="N49" s="199" t="s">
        <v>63</v>
      </c>
      <c r="O49" s="199" t="s">
        <v>67</v>
      </c>
      <c r="P49" s="199" t="s">
        <v>66</v>
      </c>
    </row>
    <row r="50" spans="1:22" ht="15.75" thickBot="1">
      <c r="A50" s="294" t="s">
        <v>142</v>
      </c>
      <c r="C50" t="str">
        <f>_xlfn.TEXTJOIN("",FALSE,E50:F50)</f>
        <v>eCQMScreening for Depression and Follow-Up Plan  (Ages 18+)</v>
      </c>
      <c r="D50" t="str">
        <f>_xlfn.TEXTJOIN("",FALSE,K50:L50)</f>
        <v>eCQMChildhood Immunization Status (Combo 10)</v>
      </c>
      <c r="E50" s="329" t="s">
        <v>6</v>
      </c>
      <c r="F50" s="330" t="s">
        <v>530</v>
      </c>
      <c r="G50" s="373">
        <v>0.9</v>
      </c>
      <c r="H50" s="331"/>
      <c r="I50" s="332">
        <v>35</v>
      </c>
      <c r="J50" s="333" t="str">
        <f>'2. Close the Gap Calculator'!N4</f>
        <v/>
      </c>
      <c r="K50" s="246" t="s">
        <v>6</v>
      </c>
      <c r="L50" s="204" t="s">
        <v>518</v>
      </c>
      <c r="M50" s="376">
        <v>0.28000000000000003</v>
      </c>
      <c r="N50" s="130"/>
      <c r="O50" s="131">
        <v>35</v>
      </c>
      <c r="P50" s="341" t="str">
        <f>'2. Close the Gap Calculator'!N4</f>
        <v/>
      </c>
    </row>
    <row r="51" spans="1:22">
      <c r="A51" s="294" t="s">
        <v>386</v>
      </c>
      <c r="C51" t="str">
        <f t="shared" ref="C51:C81" si="0">_xlfn.TEXTJOIN("",FALSE,E51:F51)</f>
        <v>AdministrativeScreening for Depression and Follow-Up Plan (Ages 18+)</v>
      </c>
      <c r="D51" t="str">
        <f t="shared" ref="D51:D81" si="1">_xlfn.TEXTJOIN("",FALSE,K51:L51)</f>
        <v>AdministrativeChildhood Immunization Status (Combo 10)</v>
      </c>
      <c r="E51" s="334" t="s">
        <v>18</v>
      </c>
      <c r="F51" s="335" t="s">
        <v>529</v>
      </c>
      <c r="G51" s="373">
        <v>0.9</v>
      </c>
      <c r="H51" s="336"/>
      <c r="I51" s="337">
        <v>35</v>
      </c>
      <c r="J51" s="333" t="str">
        <f>'2. Close the Gap Calculator'!N5</f>
        <v/>
      </c>
      <c r="K51" s="247" t="s">
        <v>18</v>
      </c>
      <c r="L51" s="204" t="s">
        <v>518</v>
      </c>
      <c r="M51" s="374">
        <v>0.35</v>
      </c>
      <c r="N51" s="125"/>
      <c r="O51" s="126">
        <v>35</v>
      </c>
      <c r="P51" s="127" t="str">
        <f>'2. Close the Gap Calculator'!N5</f>
        <v/>
      </c>
    </row>
    <row r="52" spans="1:22">
      <c r="A52" s="294" t="s">
        <v>134</v>
      </c>
      <c r="C52" t="str">
        <f t="shared" si="0"/>
        <v xml:space="preserve">eCQMGlycemic Status Assessment for Patients with Diabetes </v>
      </c>
      <c r="D52" t="str">
        <f t="shared" si="1"/>
        <v>AdministrativeImmunizations for Adolescents (Combo 2)</v>
      </c>
      <c r="E52" s="329" t="s">
        <v>6</v>
      </c>
      <c r="F52" s="330" t="s">
        <v>467</v>
      </c>
      <c r="G52" s="374" t="s">
        <v>401</v>
      </c>
      <c r="H52" s="331"/>
      <c r="I52" s="332">
        <v>35</v>
      </c>
      <c r="J52" s="333" t="s">
        <v>401</v>
      </c>
      <c r="K52" s="247" t="s">
        <v>18</v>
      </c>
      <c r="L52" s="201" t="s">
        <v>463</v>
      </c>
      <c r="M52" s="374">
        <v>0.42</v>
      </c>
      <c r="N52" s="331"/>
      <c r="O52" s="332">
        <v>35</v>
      </c>
      <c r="P52" s="340" t="str">
        <f>'2. Close the Gap Calculator'!N6</f>
        <v/>
      </c>
    </row>
    <row r="53" spans="1:22">
      <c r="A53" s="294" t="s">
        <v>131</v>
      </c>
      <c r="C53" t="str">
        <f t="shared" si="0"/>
        <v xml:space="preserve">AdministrativeGlycemic Status Assessment for Patients with Diabetes </v>
      </c>
      <c r="D53" t="str">
        <f t="shared" si="1"/>
        <v>AdministrativeChild and Adolescent Well-Care Visits</v>
      </c>
      <c r="E53" s="334" t="s">
        <v>18</v>
      </c>
      <c r="F53" s="335" t="s">
        <v>467</v>
      </c>
      <c r="G53" s="374" t="s">
        <v>401</v>
      </c>
      <c r="H53" s="337"/>
      <c r="I53" s="337">
        <v>35</v>
      </c>
      <c r="J53" s="333" t="s">
        <v>401</v>
      </c>
      <c r="K53" s="247" t="s">
        <v>18</v>
      </c>
      <c r="L53" s="201" t="s">
        <v>464</v>
      </c>
      <c r="M53" s="373">
        <v>0.57999999999999996</v>
      </c>
      <c r="N53" s="336"/>
      <c r="O53" s="337">
        <v>35</v>
      </c>
      <c r="P53" s="127" t="str">
        <f>'2. Close the Gap Calculator'!N7</f>
        <v/>
      </c>
    </row>
    <row r="54" spans="1:22" ht="15.75" thickBot="1">
      <c r="A54" s="294" t="s">
        <v>140</v>
      </c>
      <c r="C54" t="str">
        <f t="shared" si="0"/>
        <v xml:space="preserve">eCQMControlling High Blood Pressure </v>
      </c>
      <c r="D54" t="str">
        <f t="shared" si="1"/>
        <v>AdministrativeWell Visits in the First 30 Months of Life — 0-15 Months</v>
      </c>
      <c r="E54" s="329" t="s">
        <v>6</v>
      </c>
      <c r="F54" s="330" t="s">
        <v>468</v>
      </c>
      <c r="G54" s="374">
        <v>0.68</v>
      </c>
      <c r="H54" s="332"/>
      <c r="I54" s="332">
        <v>35</v>
      </c>
      <c r="J54" s="333" t="str">
        <f>'2. Close the Gap Calculator'!N8</f>
        <v/>
      </c>
      <c r="K54" s="338" t="s">
        <v>18</v>
      </c>
      <c r="L54" s="330" t="s">
        <v>498</v>
      </c>
      <c r="M54" s="374">
        <v>0.65</v>
      </c>
      <c r="N54" s="331"/>
      <c r="O54" s="332">
        <v>17.5</v>
      </c>
      <c r="P54" s="340">
        <f>SUM('2. Close the Gap Calculator'!N8,'2. Close the Gap Calculator'!N9)</f>
        <v>0</v>
      </c>
    </row>
    <row r="55" spans="1:22" ht="16.5" thickTop="1" thickBot="1">
      <c r="A55" s="294" t="s">
        <v>146</v>
      </c>
      <c r="C55" t="str">
        <f t="shared" si="0"/>
        <v xml:space="preserve">AdministrativeControlling High Blood Pressure </v>
      </c>
      <c r="D55" t="str">
        <f t="shared" si="1"/>
        <v>AdministrativeWell Visits in the First 30 Months of Life — 15-30 Months</v>
      </c>
      <c r="E55" s="328" t="s">
        <v>18</v>
      </c>
      <c r="F55" s="316" t="s">
        <v>468</v>
      </c>
      <c r="G55" s="374">
        <v>0.69</v>
      </c>
      <c r="H55" s="130"/>
      <c r="I55" s="131">
        <v>35</v>
      </c>
      <c r="J55" s="333" t="str">
        <f>'2. Close the Gap Calculator'!N9</f>
        <v/>
      </c>
      <c r="K55" s="338" t="s">
        <v>18</v>
      </c>
      <c r="L55" s="330" t="s">
        <v>499</v>
      </c>
      <c r="M55" s="374">
        <v>0.73</v>
      </c>
      <c r="N55" s="339"/>
      <c r="O55" s="332">
        <v>17.5</v>
      </c>
      <c r="P55" s="340"/>
      <c r="V55" s="401"/>
    </row>
    <row r="56" spans="1:22">
      <c r="A56" s="294" t="s">
        <v>135</v>
      </c>
      <c r="C56" t="str">
        <f t="shared" si="0"/>
        <v>eCQMChildhood Immunization Status (Combo 10)</v>
      </c>
      <c r="D56" t="str">
        <f t="shared" si="1"/>
        <v xml:space="preserve">eCQMScreening for Depression and Follow-Up Plan (Ages 12-17) </v>
      </c>
      <c r="E56" s="246" t="s">
        <v>6</v>
      </c>
      <c r="F56" s="204" t="s">
        <v>518</v>
      </c>
      <c r="G56" s="376">
        <v>0.28000000000000003</v>
      </c>
      <c r="H56" s="125"/>
      <c r="I56" s="126">
        <v>35</v>
      </c>
      <c r="J56" s="333" t="str">
        <f>'2. Close the Gap Calculator'!N10</f>
        <v/>
      </c>
      <c r="K56" s="247" t="s">
        <v>6</v>
      </c>
      <c r="L56" s="201" t="s">
        <v>528</v>
      </c>
      <c r="M56" s="374">
        <v>0.9</v>
      </c>
      <c r="N56" s="125"/>
      <c r="O56" s="126">
        <v>35</v>
      </c>
      <c r="P56" s="340" t="str">
        <f>'2. Close the Gap Calculator'!N10</f>
        <v/>
      </c>
    </row>
    <row r="57" spans="1:22" ht="15.75" thickBot="1">
      <c r="A57" s="294" t="s">
        <v>139</v>
      </c>
      <c r="C57" t="str">
        <f t="shared" si="0"/>
        <v>AdministrativeChildhood Immunization Status (Combo 10)</v>
      </c>
      <c r="D57" t="str">
        <f t="shared" si="1"/>
        <v xml:space="preserve">AdministrativeScreening for Depression and Follow-Up Plan (Ages 12-17) </v>
      </c>
      <c r="E57" s="247" t="s">
        <v>18</v>
      </c>
      <c r="F57" s="201" t="s">
        <v>518</v>
      </c>
      <c r="G57" s="374">
        <v>0.35</v>
      </c>
      <c r="H57" s="125"/>
      <c r="I57" s="126">
        <v>35</v>
      </c>
      <c r="J57" s="333" t="str">
        <f>'2. Close the Gap Calculator'!N11</f>
        <v/>
      </c>
      <c r="K57" s="248" t="s">
        <v>18</v>
      </c>
      <c r="L57" s="219" t="s">
        <v>528</v>
      </c>
      <c r="M57" s="377">
        <v>0.9</v>
      </c>
      <c r="N57" s="126"/>
      <c r="O57" s="126">
        <v>35</v>
      </c>
      <c r="P57" s="340" t="str">
        <f>'2. Close the Gap Calculator'!N11</f>
        <v/>
      </c>
    </row>
    <row r="58" spans="1:22" ht="15.75" thickBot="1">
      <c r="A58" s="294" t="s">
        <v>141</v>
      </c>
      <c r="C58" t="str">
        <f t="shared" si="0"/>
        <v>AdministrativeImmunizations for Adolescents (Combo 2)</v>
      </c>
      <c r="D58" t="str">
        <f t="shared" si="1"/>
        <v>eCQMScreening for Depression and Follow-Up Plan (Ages 18+)</v>
      </c>
      <c r="E58" s="247" t="s">
        <v>18</v>
      </c>
      <c r="F58" s="201" t="s">
        <v>463</v>
      </c>
      <c r="G58" s="374">
        <v>0.42</v>
      </c>
      <c r="H58" s="125"/>
      <c r="I58" s="126">
        <v>35</v>
      </c>
      <c r="J58" s="333" t="str">
        <f>'2. Close the Gap Calculator'!N12</f>
        <v/>
      </c>
      <c r="K58" s="210" t="s">
        <v>6</v>
      </c>
      <c r="L58" s="201" t="s">
        <v>529</v>
      </c>
      <c r="M58" s="373">
        <v>0.9</v>
      </c>
      <c r="N58" s="125"/>
      <c r="O58" s="126">
        <v>35</v>
      </c>
      <c r="P58" s="340" t="str">
        <f>'2. Close the Gap Calculator'!N12</f>
        <v/>
      </c>
    </row>
    <row r="59" spans="1:22">
      <c r="A59" s="294" t="s">
        <v>143</v>
      </c>
      <c r="C59" t="str">
        <f t="shared" si="0"/>
        <v>AdministrativeChild and Adolescent Well-Care Visits</v>
      </c>
      <c r="D59" t="str">
        <f t="shared" si="1"/>
        <v>AdministrativeScreening for Depression and Follow-Up Plan (Ages 18+)</v>
      </c>
      <c r="E59" s="247" t="s">
        <v>18</v>
      </c>
      <c r="F59" s="201" t="s">
        <v>464</v>
      </c>
      <c r="G59" s="373">
        <v>0.57999999999999996</v>
      </c>
      <c r="H59" s="125"/>
      <c r="I59" s="126">
        <v>35</v>
      </c>
      <c r="J59" s="333" t="str">
        <f>'2. Close the Gap Calculator'!N13</f>
        <v/>
      </c>
      <c r="K59" s="210" t="s">
        <v>18</v>
      </c>
      <c r="L59" s="201" t="s">
        <v>529</v>
      </c>
      <c r="M59" s="373">
        <v>0.9</v>
      </c>
      <c r="N59" s="130"/>
      <c r="O59" s="126">
        <v>35</v>
      </c>
      <c r="P59" s="340" t="str">
        <f>'2. Close the Gap Calculator'!N13</f>
        <v/>
      </c>
    </row>
    <row r="60" spans="1:22" ht="15.75" thickBot="1">
      <c r="A60" s="294" t="s">
        <v>138</v>
      </c>
      <c r="C60" t="str">
        <f t="shared" si="0"/>
        <v>AdministrativeWell Visits in the First 30 Months of Life — 0-15 Months</v>
      </c>
      <c r="D60" t="str">
        <f t="shared" si="1"/>
        <v>eCQMGlycemic Status Assessment for Patients with Diabetes</v>
      </c>
      <c r="E60" s="305" t="s">
        <v>18</v>
      </c>
      <c r="F60" s="201" t="s">
        <v>498</v>
      </c>
      <c r="G60" s="374">
        <v>0.65</v>
      </c>
      <c r="H60" s="125"/>
      <c r="I60" s="126">
        <v>17.5</v>
      </c>
      <c r="J60" s="333">
        <f>SUM('2. Close the Gap Calculator'!N14:'2. Close the Gap Calculator'!N15)</f>
        <v>0</v>
      </c>
      <c r="K60" s="210" t="s">
        <v>6</v>
      </c>
      <c r="L60" s="201" t="s">
        <v>460</v>
      </c>
      <c r="M60" s="374" t="s">
        <v>401</v>
      </c>
      <c r="N60" s="125"/>
      <c r="O60" s="126">
        <v>35</v>
      </c>
      <c r="P60" s="340" t="str">
        <f>'2. Close the Gap Calculator'!N14</f>
        <v/>
      </c>
    </row>
    <row r="61" spans="1:22" ht="16.5" thickTop="1" thickBot="1">
      <c r="A61" s="294" t="s">
        <v>130</v>
      </c>
      <c r="C61" t="str">
        <f t="shared" si="0"/>
        <v>AdministrativeWell Visits in the First 30 Months of Life — 15-30 Months</v>
      </c>
      <c r="D61" t="str">
        <f t="shared" si="1"/>
        <v>AdministrativeGlycemic Status Assessment for Patients with Diabetes</v>
      </c>
      <c r="E61" s="305" t="s">
        <v>18</v>
      </c>
      <c r="F61" s="201" t="s">
        <v>499</v>
      </c>
      <c r="G61" s="374">
        <v>0.73</v>
      </c>
      <c r="H61" s="237"/>
      <c r="I61" s="237">
        <v>17.5</v>
      </c>
      <c r="J61" s="333"/>
      <c r="K61" s="210" t="s">
        <v>18</v>
      </c>
      <c r="L61" s="201" t="s">
        <v>460</v>
      </c>
      <c r="M61" s="374" t="s">
        <v>401</v>
      </c>
      <c r="N61" s="125"/>
      <c r="O61" s="126">
        <v>35</v>
      </c>
      <c r="P61" s="340" t="str">
        <f>'2. Close the Gap Calculator'!N15</f>
        <v/>
      </c>
      <c r="U61" s="401"/>
    </row>
    <row r="62" spans="1:22">
      <c r="A62" s="294" t="s">
        <v>144</v>
      </c>
      <c r="C62" t="str">
        <f t="shared" si="0"/>
        <v>eCQMScreening for Depression and Follow-Up Plan (Ages 12-17)</v>
      </c>
      <c r="D62" t="str">
        <f t="shared" si="1"/>
        <v>eCQMControlling High Blood Pressure</v>
      </c>
      <c r="E62" s="247" t="s">
        <v>6</v>
      </c>
      <c r="F62" s="201" t="s">
        <v>527</v>
      </c>
      <c r="G62" s="374">
        <v>0.9</v>
      </c>
      <c r="H62" s="130"/>
      <c r="I62" s="131">
        <v>35</v>
      </c>
      <c r="J62" s="333" t="str">
        <f>'2. Close the Gap Calculator'!N16</f>
        <v/>
      </c>
      <c r="K62" s="210" t="s">
        <v>6</v>
      </c>
      <c r="L62" s="201" t="s">
        <v>402</v>
      </c>
      <c r="M62" s="374">
        <v>0.68</v>
      </c>
      <c r="N62" s="125"/>
      <c r="O62" s="126">
        <v>35</v>
      </c>
      <c r="P62" s="340" t="str">
        <f>'2. Close the Gap Calculator'!N16</f>
        <v/>
      </c>
    </row>
    <row r="63" spans="1:22" ht="15.75" thickBot="1">
      <c r="A63" s="294" t="s">
        <v>178</v>
      </c>
      <c r="C63" t="str">
        <f t="shared" si="0"/>
        <v>AdministrativeScreening for Depression and Follow-Up Plan (Ages 12-17)</v>
      </c>
      <c r="D63" t="str">
        <f t="shared" si="1"/>
        <v>AdministrativeControlling High Blood Pressure</v>
      </c>
      <c r="E63" s="248" t="s">
        <v>18</v>
      </c>
      <c r="F63" s="219" t="s">
        <v>527</v>
      </c>
      <c r="G63" s="377">
        <v>0.9</v>
      </c>
      <c r="H63" s="125"/>
      <c r="I63" s="126">
        <v>35</v>
      </c>
      <c r="J63" s="333" t="str">
        <f>'2. Close the Gap Calculator'!N17</f>
        <v/>
      </c>
      <c r="K63" s="210" t="s">
        <v>18</v>
      </c>
      <c r="L63" s="283" t="s">
        <v>402</v>
      </c>
      <c r="M63" s="373">
        <v>0.69</v>
      </c>
      <c r="N63" s="125"/>
      <c r="O63" s="126">
        <v>35</v>
      </c>
      <c r="P63" s="340" t="str">
        <f>'2. Close the Gap Calculator'!N17</f>
        <v/>
      </c>
    </row>
    <row r="64" spans="1:22">
      <c r="A64" s="294" t="s">
        <v>214</v>
      </c>
      <c r="C64" t="str">
        <f t="shared" si="0"/>
        <v>eCQMBreast Cancer Screening</v>
      </c>
      <c r="D64" t="str">
        <f t="shared" si="1"/>
        <v>AdministrativeDevelopmental Screening in the First Three Years of Life</v>
      </c>
      <c r="E64" s="214" t="s">
        <v>6</v>
      </c>
      <c r="F64" s="222" t="s">
        <v>7</v>
      </c>
      <c r="G64" s="378">
        <v>0.66</v>
      </c>
      <c r="H64" s="125"/>
      <c r="I64" s="126">
        <v>35</v>
      </c>
      <c r="J64" s="333" t="str">
        <f>'2. Close the Gap Calculator'!N18</f>
        <v/>
      </c>
      <c r="K64" s="311" t="s">
        <v>18</v>
      </c>
      <c r="L64" s="308" t="s">
        <v>466</v>
      </c>
      <c r="M64" s="374">
        <v>0.8</v>
      </c>
      <c r="N64" s="125"/>
      <c r="O64" s="126">
        <v>35</v>
      </c>
      <c r="P64" s="340" t="str">
        <f>'2. Close the Gap Calculator'!N18</f>
        <v/>
      </c>
    </row>
    <row r="65" spans="1:16">
      <c r="A65" s="294" t="s">
        <v>228</v>
      </c>
      <c r="C65" t="str">
        <f t="shared" si="0"/>
        <v>AdministrativeBreast Cancer Screening</v>
      </c>
      <c r="D65" t="str">
        <f t="shared" si="1"/>
        <v>AdministrativeContraceptive Care - All Women</v>
      </c>
      <c r="E65" s="210" t="s">
        <v>18</v>
      </c>
      <c r="F65" s="209" t="s">
        <v>7</v>
      </c>
      <c r="G65" s="373">
        <v>0.6</v>
      </c>
      <c r="H65" s="125"/>
      <c r="I65" s="126">
        <v>35</v>
      </c>
      <c r="J65" s="333" t="str">
        <f>'2. Close the Gap Calculator'!N19</f>
        <v/>
      </c>
      <c r="K65" s="210" t="s">
        <v>18</v>
      </c>
      <c r="L65" s="201" t="s">
        <v>465</v>
      </c>
      <c r="M65" s="374" t="s">
        <v>401</v>
      </c>
      <c r="N65" s="211"/>
      <c r="O65" s="126">
        <v>35</v>
      </c>
      <c r="P65" s="340" t="str">
        <f>'2. Close the Gap Calculator'!N19</f>
        <v/>
      </c>
    </row>
    <row r="66" spans="1:16">
      <c r="A66" s="294" t="s">
        <v>150</v>
      </c>
      <c r="C66" t="str">
        <f t="shared" si="0"/>
        <v>eCQMCervical Cancer Screening</v>
      </c>
      <c r="D66" t="str">
        <f t="shared" si="1"/>
        <v>eCQMChlamydia Screening in Women (16-24)</v>
      </c>
      <c r="E66" s="210" t="s">
        <v>6</v>
      </c>
      <c r="F66" s="201" t="s">
        <v>403</v>
      </c>
      <c r="G66" s="374">
        <v>0.44</v>
      </c>
      <c r="H66" s="125"/>
      <c r="I66" s="126">
        <v>35</v>
      </c>
      <c r="J66" s="333" t="str">
        <f>'2. Close the Gap Calculator'!N20</f>
        <v/>
      </c>
      <c r="K66" s="247" t="s">
        <v>6</v>
      </c>
      <c r="L66" s="208" t="s">
        <v>566</v>
      </c>
      <c r="M66" s="374">
        <v>0.37</v>
      </c>
      <c r="N66" s="125"/>
      <c r="O66" s="126">
        <v>35</v>
      </c>
      <c r="P66" s="340" t="str">
        <f>'2. Close the Gap Calculator'!N20</f>
        <v/>
      </c>
    </row>
    <row r="67" spans="1:16" ht="15.75" thickBot="1">
      <c r="A67" s="294" t="s">
        <v>188</v>
      </c>
      <c r="C67" t="str">
        <f t="shared" si="0"/>
        <v>AdministrativeCervical Cancer Screening</v>
      </c>
      <c r="D67" t="str">
        <f t="shared" si="1"/>
        <v>AdministrativeChlamydia Screening in Women (16-24)</v>
      </c>
      <c r="E67" s="210" t="s">
        <v>18</v>
      </c>
      <c r="F67" s="201" t="s">
        <v>403</v>
      </c>
      <c r="G67" s="374">
        <v>0.62</v>
      </c>
      <c r="H67" s="125"/>
      <c r="I67" s="126">
        <v>35</v>
      </c>
      <c r="J67" s="333" t="str">
        <f>'2. Close the Gap Calculator'!N21</f>
        <v/>
      </c>
      <c r="K67" s="247" t="s">
        <v>18</v>
      </c>
      <c r="L67" s="208" t="s">
        <v>566</v>
      </c>
      <c r="M67" s="374">
        <v>0.64</v>
      </c>
      <c r="N67" s="260"/>
      <c r="O67" s="126">
        <v>35</v>
      </c>
      <c r="P67" s="340" t="str">
        <f>'2. Close the Gap Calculator'!N21</f>
        <v/>
      </c>
    </row>
    <row r="68" spans="1:16" ht="15.75" customHeight="1">
      <c r="A68" s="294" t="s">
        <v>164</v>
      </c>
      <c r="C68" t="str">
        <f t="shared" si="0"/>
        <v>eCQMChlamydia Screening in Women (16-24)</v>
      </c>
      <c r="D68" t="str">
        <f t="shared" si="1"/>
        <v>eCQMBreast Cancer Screening</v>
      </c>
      <c r="E68" s="210" t="s">
        <v>6</v>
      </c>
      <c r="F68" s="208" t="s">
        <v>566</v>
      </c>
      <c r="G68" s="374">
        <v>0.37</v>
      </c>
      <c r="H68" s="257"/>
      <c r="I68" s="225">
        <v>35</v>
      </c>
      <c r="J68" s="333" t="str">
        <f>'2. Close the Gap Calculator'!N22</f>
        <v/>
      </c>
      <c r="K68" s="214" t="s">
        <v>6</v>
      </c>
      <c r="L68" s="222" t="s">
        <v>7</v>
      </c>
      <c r="M68" s="378">
        <v>0.66</v>
      </c>
      <c r="N68" s="130"/>
      <c r="O68" s="126">
        <v>35</v>
      </c>
      <c r="P68" s="340" t="str">
        <f>'2. Close the Gap Calculator'!N22</f>
        <v/>
      </c>
    </row>
    <row r="69" spans="1:16" ht="15.75" customHeight="1">
      <c r="A69" s="294" t="s">
        <v>424</v>
      </c>
      <c r="C69" t="str">
        <f t="shared" si="0"/>
        <v>AdministrativeChlamydia Screening in Women (16-24)</v>
      </c>
      <c r="D69" t="str">
        <f t="shared" si="1"/>
        <v>AdministrativeBreast Cancer Screening</v>
      </c>
      <c r="E69" s="210" t="s">
        <v>18</v>
      </c>
      <c r="F69" s="208" t="s">
        <v>566</v>
      </c>
      <c r="G69" s="374">
        <v>0.64</v>
      </c>
      <c r="I69" s="327">
        <v>35</v>
      </c>
      <c r="J69" s="333" t="str">
        <f>'2. Close the Gap Calculator'!N23</f>
        <v/>
      </c>
      <c r="K69" s="210" t="s">
        <v>18</v>
      </c>
      <c r="L69" s="209" t="s">
        <v>7</v>
      </c>
      <c r="M69" s="373">
        <v>0.6</v>
      </c>
      <c r="N69" s="125"/>
      <c r="O69" s="126">
        <v>35</v>
      </c>
      <c r="P69" s="340" t="str">
        <f>'2. Close the Gap Calculator'!N23</f>
        <v/>
      </c>
    </row>
    <row r="70" spans="1:16" ht="15.75" customHeight="1">
      <c r="A70" s="294" t="s">
        <v>161</v>
      </c>
      <c r="C70" t="str">
        <f t="shared" si="0"/>
        <v>AdministrativeContraceptive Care - All Women</v>
      </c>
      <c r="D70" t="str">
        <f t="shared" si="1"/>
        <v>eCQMCervical Cancer Screening</v>
      </c>
      <c r="E70" s="210" t="s">
        <v>18</v>
      </c>
      <c r="F70" s="201" t="s">
        <v>465</v>
      </c>
      <c r="G70" s="374" t="s">
        <v>401</v>
      </c>
      <c r="H70" s="125"/>
      <c r="I70" s="126">
        <v>35</v>
      </c>
      <c r="J70" s="333" t="str">
        <f>'2. Close the Gap Calculator'!N24</f>
        <v/>
      </c>
      <c r="K70" s="210" t="s">
        <v>6</v>
      </c>
      <c r="L70" s="201" t="s">
        <v>403</v>
      </c>
      <c r="M70" s="374">
        <v>0.44</v>
      </c>
      <c r="N70" s="125"/>
      <c r="O70" s="126">
        <v>35</v>
      </c>
      <c r="P70" s="340" t="str">
        <f>'2. Close the Gap Calculator'!N24</f>
        <v/>
      </c>
    </row>
    <row r="71" spans="1:16" ht="15.75" customHeight="1">
      <c r="A71" s="294" t="s">
        <v>172</v>
      </c>
      <c r="C71" t="str">
        <f t="shared" si="0"/>
        <v>eCQMColorectal Cancer Screening</v>
      </c>
      <c r="D71" t="str">
        <f t="shared" si="1"/>
        <v>AdministrativeCervical Cancer Screening</v>
      </c>
      <c r="E71" s="210" t="s">
        <v>6</v>
      </c>
      <c r="F71" s="201" t="s">
        <v>8</v>
      </c>
      <c r="G71" s="374">
        <v>0.6</v>
      </c>
      <c r="H71" s="125"/>
      <c r="I71" s="126">
        <v>35</v>
      </c>
      <c r="J71" s="333" t="str">
        <f>'2. Close the Gap Calculator'!N25</f>
        <v/>
      </c>
      <c r="K71" s="210" t="s">
        <v>18</v>
      </c>
      <c r="L71" s="201" t="s">
        <v>403</v>
      </c>
      <c r="M71" s="374">
        <v>0.62</v>
      </c>
      <c r="N71" s="125"/>
      <c r="O71" s="126">
        <v>35</v>
      </c>
      <c r="P71" s="340" t="str">
        <f>'2. Close the Gap Calculator'!N25</f>
        <v/>
      </c>
    </row>
    <row r="72" spans="1:16" ht="15.75" customHeight="1" thickBot="1">
      <c r="A72" s="294" t="s">
        <v>154</v>
      </c>
      <c r="C72" t="str">
        <f t="shared" si="0"/>
        <v>AdministrativeDevelopmental Screening in the First Three Years of Life</v>
      </c>
      <c r="D72" t="str">
        <f t="shared" si="1"/>
        <v>eCQMColorectal Cancer Screening</v>
      </c>
      <c r="E72" s="305" t="s">
        <v>18</v>
      </c>
      <c r="F72" s="201" t="s">
        <v>466</v>
      </c>
      <c r="G72" s="374">
        <v>0.8</v>
      </c>
      <c r="H72" s="125"/>
      <c r="I72" s="126">
        <v>35</v>
      </c>
      <c r="J72" s="333" t="str">
        <f>'2. Close the Gap Calculator'!N26</f>
        <v/>
      </c>
      <c r="K72" s="210" t="s">
        <v>6</v>
      </c>
      <c r="L72" s="201" t="s">
        <v>8</v>
      </c>
      <c r="M72" s="374">
        <v>0.6</v>
      </c>
      <c r="N72" s="125"/>
      <c r="O72" s="126">
        <v>35</v>
      </c>
      <c r="P72" s="340" t="str">
        <f>'2. Close the Gap Calculator'!N26</f>
        <v/>
      </c>
    </row>
    <row r="73" spans="1:16" ht="15.75" customHeight="1">
      <c r="A73" s="294" t="s">
        <v>234</v>
      </c>
      <c r="C73" t="str">
        <f t="shared" si="0"/>
        <v>StructuralPatient Satisfaction</v>
      </c>
      <c r="D73" t="str">
        <f t="shared" si="1"/>
        <v>StructuralPatient Satisfaction</v>
      </c>
      <c r="E73" s="124" t="s">
        <v>44</v>
      </c>
      <c r="F73" s="128" t="s">
        <v>9</v>
      </c>
      <c r="G73" s="228" t="s">
        <v>45</v>
      </c>
      <c r="H73" s="122"/>
      <c r="I73" s="122">
        <v>20</v>
      </c>
      <c r="J73" s="333" t="str">
        <f>'2. Close the Gap Calculator'!N27</f>
        <v/>
      </c>
      <c r="K73" s="230" t="s">
        <v>44</v>
      </c>
      <c r="L73" s="128" t="s">
        <v>9</v>
      </c>
      <c r="M73" s="122" t="s">
        <v>45</v>
      </c>
      <c r="N73" s="122"/>
      <c r="O73" s="122">
        <v>20</v>
      </c>
      <c r="P73" s="340" t="str">
        <f>'2. Close the Gap Calculator'!N27</f>
        <v/>
      </c>
    </row>
    <row r="74" spans="1:16" ht="15.75" customHeight="1">
      <c r="A74" s="294" t="s">
        <v>233</v>
      </c>
      <c r="C74" t="str">
        <f t="shared" si="0"/>
        <v>StructuralInterdisciplinary Team</v>
      </c>
      <c r="D74" t="str">
        <f t="shared" si="1"/>
        <v>StructuralInterdisciplinary Team</v>
      </c>
      <c r="E74" s="124" t="s">
        <v>44</v>
      </c>
      <c r="F74" s="128" t="s">
        <v>10</v>
      </c>
      <c r="G74" s="122" t="s">
        <v>45</v>
      </c>
      <c r="H74" s="122"/>
      <c r="I74" s="122">
        <v>20</v>
      </c>
      <c r="J74" s="333" t="str">
        <f>'2. Close the Gap Calculator'!N28</f>
        <v/>
      </c>
      <c r="K74" s="230" t="s">
        <v>44</v>
      </c>
      <c r="L74" s="128" t="s">
        <v>10</v>
      </c>
      <c r="M74" s="122" t="s">
        <v>45</v>
      </c>
      <c r="N74" s="122"/>
      <c r="O74" s="122">
        <v>20</v>
      </c>
      <c r="P74" s="340" t="str">
        <f>'2. Close the Gap Calculator'!N28</f>
        <v/>
      </c>
    </row>
    <row r="75" spans="1:16" ht="15.75" customHeight="1">
      <c r="A75" s="294" t="s">
        <v>452</v>
      </c>
      <c r="C75" t="str">
        <f t="shared" si="0"/>
        <v>StructuralAvailability of Appointments</v>
      </c>
      <c r="D75" t="str">
        <f t="shared" si="1"/>
        <v>StructuralAvailability of Appointments</v>
      </c>
      <c r="E75" s="124" t="s">
        <v>44</v>
      </c>
      <c r="F75" s="128" t="s">
        <v>11</v>
      </c>
      <c r="G75" s="122" t="s">
        <v>45</v>
      </c>
      <c r="H75" s="122"/>
      <c r="I75" s="122">
        <v>20</v>
      </c>
      <c r="J75" s="333" t="str">
        <f>'2. Close the Gap Calculator'!N29</f>
        <v/>
      </c>
      <c r="K75" s="230" t="s">
        <v>44</v>
      </c>
      <c r="L75" s="128" t="s">
        <v>11</v>
      </c>
      <c r="M75" s="122" t="s">
        <v>45</v>
      </c>
      <c r="N75" s="122"/>
      <c r="O75" s="122">
        <v>20</v>
      </c>
      <c r="P75" s="340" t="str">
        <f>'2. Close the Gap Calculator'!N29</f>
        <v/>
      </c>
    </row>
    <row r="76" spans="1:16" ht="15.75" customHeight="1">
      <c r="A76" s="294" t="s">
        <v>177</v>
      </c>
      <c r="C76" t="str">
        <f t="shared" si="0"/>
        <v>StructuralImproving Patient/Family Access</v>
      </c>
      <c r="D76" t="str">
        <f t="shared" si="1"/>
        <v>StructuralImproving Patient/Family Access</v>
      </c>
      <c r="E76" s="124" t="s">
        <v>44</v>
      </c>
      <c r="F76" s="128" t="s">
        <v>12</v>
      </c>
      <c r="G76" s="122" t="s">
        <v>45</v>
      </c>
      <c r="H76" s="122"/>
      <c r="I76" s="122">
        <v>20</v>
      </c>
      <c r="J76" s="333" t="str">
        <f>'2. Close the Gap Calculator'!N30</f>
        <v/>
      </c>
      <c r="K76" s="230" t="s">
        <v>44</v>
      </c>
      <c r="L76" s="128" t="s">
        <v>12</v>
      </c>
      <c r="M76" s="122" t="s">
        <v>45</v>
      </c>
      <c r="N76" s="122"/>
      <c r="O76" s="122">
        <v>20</v>
      </c>
      <c r="P76" s="340" t="str">
        <f>'2. Close the Gap Calculator'!N30</f>
        <v/>
      </c>
    </row>
    <row r="77" spans="1:16" ht="15" customHeight="1">
      <c r="A77" s="294" t="s">
        <v>169</v>
      </c>
      <c r="C77" t="str">
        <f t="shared" si="0"/>
        <v>StructuralAlternative Encounters</v>
      </c>
      <c r="D77" t="str">
        <f t="shared" si="1"/>
        <v>StructuralAlternative Encounters</v>
      </c>
      <c r="E77" s="124" t="s">
        <v>44</v>
      </c>
      <c r="F77" s="128" t="s">
        <v>13</v>
      </c>
      <c r="G77" s="122" t="s">
        <v>45</v>
      </c>
      <c r="H77" s="122"/>
      <c r="I77" s="122">
        <v>20</v>
      </c>
      <c r="J77" s="333" t="str">
        <f>'2. Close the Gap Calculator'!N31</f>
        <v/>
      </c>
      <c r="K77" s="230" t="s">
        <v>44</v>
      </c>
      <c r="L77" s="128" t="s">
        <v>13</v>
      </c>
      <c r="M77" s="122" t="s">
        <v>45</v>
      </c>
      <c r="N77" s="122"/>
      <c r="O77" s="122">
        <v>20</v>
      </c>
      <c r="P77" s="340" t="str">
        <f>'2. Close the Gap Calculator'!N31</f>
        <v/>
      </c>
    </row>
    <row r="78" spans="1:16" ht="15" customHeight="1">
      <c r="A78" s="294" t="s">
        <v>225</v>
      </c>
      <c r="C78" t="str">
        <f t="shared" si="0"/>
        <v>StructuralEmergency Department and Hospital Follow-Up</v>
      </c>
      <c r="D78" t="str">
        <f t="shared" si="1"/>
        <v>StructuralEmergency Department and Hospital Follow-Up</v>
      </c>
      <c r="E78" s="124" t="s">
        <v>44</v>
      </c>
      <c r="F78" s="128" t="s">
        <v>407</v>
      </c>
      <c r="G78" s="122" t="s">
        <v>45</v>
      </c>
      <c r="H78" s="122"/>
      <c r="I78" s="122">
        <v>20</v>
      </c>
      <c r="J78" s="333" t="str">
        <f>'2. Close the Gap Calculator'!N32</f>
        <v/>
      </c>
      <c r="K78" s="230" t="s">
        <v>44</v>
      </c>
      <c r="L78" s="128" t="s">
        <v>407</v>
      </c>
      <c r="M78" s="122" t="s">
        <v>45</v>
      </c>
      <c r="N78" s="122"/>
      <c r="O78" s="122">
        <v>20</v>
      </c>
      <c r="P78" s="340" t="str">
        <f>'2. Close the Gap Calculator'!N32</f>
        <v/>
      </c>
    </row>
    <row r="79" spans="1:16" ht="15" customHeight="1">
      <c r="A79" s="294" t="s">
        <v>149</v>
      </c>
      <c r="C79" t="str">
        <f t="shared" si="0"/>
        <v>StructuralReferral Tracking</v>
      </c>
      <c r="D79" t="str">
        <f t="shared" si="1"/>
        <v>StructuralReferral Tracking</v>
      </c>
      <c r="E79" s="129" t="s">
        <v>44</v>
      </c>
      <c r="F79" s="126" t="s">
        <v>14</v>
      </c>
      <c r="G79" s="122" t="s">
        <v>45</v>
      </c>
      <c r="H79" s="122"/>
      <c r="I79" s="122">
        <v>20</v>
      </c>
      <c r="J79" s="333" t="str">
        <f>'2. Close the Gap Calculator'!N33</f>
        <v/>
      </c>
      <c r="K79" s="232" t="s">
        <v>44</v>
      </c>
      <c r="L79" s="126" t="s">
        <v>14</v>
      </c>
      <c r="M79" s="122" t="s">
        <v>45</v>
      </c>
      <c r="N79" s="122"/>
      <c r="O79" s="122">
        <v>20</v>
      </c>
      <c r="P79" s="340" t="str">
        <f>'2. Close the Gap Calculator'!N33</f>
        <v/>
      </c>
    </row>
    <row r="80" spans="1:16" ht="15" customHeight="1">
      <c r="A80" s="294" t="s">
        <v>182</v>
      </c>
      <c r="C80" t="str">
        <f t="shared" si="0"/>
        <v>StructuralBehavioral Health Integration</v>
      </c>
      <c r="D80" t="str">
        <f t="shared" si="1"/>
        <v>StructuralBehavioral Health Integration</v>
      </c>
      <c r="E80" s="129" t="s">
        <v>44</v>
      </c>
      <c r="F80" s="126" t="s">
        <v>406</v>
      </c>
      <c r="G80" s="122" t="s">
        <v>45</v>
      </c>
      <c r="H80" s="122"/>
      <c r="I80" s="122">
        <v>20</v>
      </c>
      <c r="J80" s="333" t="str">
        <f>'2. Close the Gap Calculator'!N34</f>
        <v/>
      </c>
      <c r="K80" s="232" t="s">
        <v>44</v>
      </c>
      <c r="L80" s="126" t="s">
        <v>406</v>
      </c>
      <c r="M80" s="122" t="s">
        <v>45</v>
      </c>
      <c r="N80" s="122"/>
      <c r="O80" s="122">
        <v>20</v>
      </c>
      <c r="P80" s="340" t="str">
        <f>'2. Close the Gap Calculator'!N34</f>
        <v/>
      </c>
    </row>
    <row r="81" spans="1:16" ht="15" customHeight="1" thickBot="1">
      <c r="A81" s="294" t="s">
        <v>210</v>
      </c>
      <c r="C81" t="str">
        <f t="shared" si="0"/>
        <v>StructuralIndividual Care Plan</v>
      </c>
      <c r="D81" t="str">
        <f t="shared" si="1"/>
        <v>StructuralIndividual Care Plan</v>
      </c>
      <c r="E81" s="129" t="s">
        <v>44</v>
      </c>
      <c r="F81" s="126" t="s">
        <v>15</v>
      </c>
      <c r="G81" s="235" t="s">
        <v>45</v>
      </c>
      <c r="H81" s="122"/>
      <c r="I81" s="122">
        <v>20</v>
      </c>
      <c r="J81" s="333" t="str">
        <f>'2. Close the Gap Calculator'!N35</f>
        <v/>
      </c>
      <c r="K81" s="232" t="s">
        <v>44</v>
      </c>
      <c r="L81" s="126" t="s">
        <v>15</v>
      </c>
      <c r="M81" s="122" t="s">
        <v>45</v>
      </c>
      <c r="N81" s="122"/>
      <c r="O81" s="122">
        <v>20</v>
      </c>
      <c r="P81" s="340" t="str">
        <f>'2. Close the Gap Calculator'!N35</f>
        <v/>
      </c>
    </row>
    <row r="82" spans="1:16" ht="15" customHeight="1">
      <c r="A82" s="294" t="s">
        <v>156</v>
      </c>
    </row>
    <row r="83" spans="1:16" ht="15" customHeight="1">
      <c r="A83" s="294" t="s">
        <v>206</v>
      </c>
    </row>
    <row r="84" spans="1:16" ht="15" customHeight="1">
      <c r="A84" s="294" t="s">
        <v>194</v>
      </c>
    </row>
    <row r="85" spans="1:16" ht="15" customHeight="1">
      <c r="A85" s="294" t="s">
        <v>175</v>
      </c>
    </row>
    <row r="86" spans="1:16" ht="15" customHeight="1">
      <c r="A86" s="294" t="s">
        <v>163</v>
      </c>
    </row>
    <row r="87" spans="1:16" ht="15" customHeight="1">
      <c r="A87" s="294" t="s">
        <v>191</v>
      </c>
    </row>
    <row r="88" spans="1:16" ht="15.75" customHeight="1">
      <c r="A88" s="294" t="s">
        <v>203</v>
      </c>
    </row>
    <row r="89" spans="1:16" ht="15.75" customHeight="1">
      <c r="A89" s="294" t="s">
        <v>231</v>
      </c>
    </row>
    <row r="90" spans="1:16" ht="15.75" customHeight="1">
      <c r="A90" s="294" t="s">
        <v>196</v>
      </c>
    </row>
    <row r="91" spans="1:16" ht="15.75" customHeight="1">
      <c r="A91" s="294" t="s">
        <v>423</v>
      </c>
    </row>
    <row r="92" spans="1:16" ht="15.75" customHeight="1">
      <c r="A92" s="294" t="s">
        <v>174</v>
      </c>
    </row>
    <row r="93" spans="1:16" ht="15.75" customHeight="1">
      <c r="A93" s="294" t="s">
        <v>157</v>
      </c>
    </row>
    <row r="94" spans="1:16" ht="15.75" customHeight="1">
      <c r="A94" s="294" t="s">
        <v>192</v>
      </c>
    </row>
    <row r="95" spans="1:16" ht="15.75" customHeight="1">
      <c r="A95" s="294" t="s">
        <v>198</v>
      </c>
    </row>
    <row r="96" spans="1:16" ht="15" customHeight="1">
      <c r="A96" s="294" t="s">
        <v>168</v>
      </c>
    </row>
    <row r="97" spans="1:4" ht="15.75" customHeight="1">
      <c r="A97" s="294" t="s">
        <v>286</v>
      </c>
    </row>
    <row r="98" spans="1:4" ht="15.75" customHeight="1">
      <c r="A98" s="294" t="s">
        <v>222</v>
      </c>
    </row>
    <row r="99" spans="1:4" ht="15.75" customHeight="1">
      <c r="A99" s="294" t="s">
        <v>165</v>
      </c>
    </row>
    <row r="100" spans="1:4" ht="15.75" customHeight="1">
      <c r="A100" s="294" t="s">
        <v>207</v>
      </c>
    </row>
    <row r="101" spans="1:4" ht="15" customHeight="1">
      <c r="A101" s="294" t="s">
        <v>230</v>
      </c>
    </row>
    <row r="102" spans="1:4" ht="15" customHeight="1">
      <c r="A102" s="294" t="s">
        <v>208</v>
      </c>
    </row>
    <row r="103" spans="1:4" ht="15" customHeight="1">
      <c r="A103" s="294" t="s">
        <v>162</v>
      </c>
    </row>
    <row r="104" spans="1:4" ht="15" customHeight="1" thickBot="1">
      <c r="A104" s="294" t="s">
        <v>151</v>
      </c>
    </row>
    <row r="105" spans="1:4" ht="15" customHeight="1">
      <c r="A105" s="294" t="s">
        <v>171</v>
      </c>
      <c r="D105" s="223"/>
    </row>
    <row r="106" spans="1:4" ht="15" customHeight="1">
      <c r="A106" s="294" t="s">
        <v>179</v>
      </c>
      <c r="D106" s="224"/>
    </row>
    <row r="107" spans="1:4" ht="15" customHeight="1">
      <c r="A107" s="294" t="s">
        <v>216</v>
      </c>
      <c r="D107" s="224"/>
    </row>
    <row r="108" spans="1:4" ht="15" customHeight="1">
      <c r="A108" s="294" t="s">
        <v>204</v>
      </c>
      <c r="D108" s="224"/>
    </row>
    <row r="109" spans="1:4" ht="15" customHeight="1">
      <c r="A109" s="294" t="s">
        <v>159</v>
      </c>
      <c r="D109" s="224"/>
    </row>
    <row r="110" spans="1:4" ht="15.75" customHeight="1">
      <c r="A110" s="294" t="s">
        <v>167</v>
      </c>
      <c r="D110" s="224"/>
    </row>
    <row r="111" spans="1:4">
      <c r="A111" s="294" t="s">
        <v>227</v>
      </c>
    </row>
    <row r="112" spans="1:4">
      <c r="A112" s="294" t="s">
        <v>223</v>
      </c>
    </row>
    <row r="113" spans="1:1">
      <c r="A113" s="294" t="s">
        <v>160</v>
      </c>
    </row>
    <row r="114" spans="1:1">
      <c r="A114" s="294" t="s">
        <v>422</v>
      </c>
    </row>
    <row r="115" spans="1:1">
      <c r="A115" s="294" t="s">
        <v>183</v>
      </c>
    </row>
    <row r="116" spans="1:1">
      <c r="A116" s="294" t="s">
        <v>229</v>
      </c>
    </row>
    <row r="117" spans="1:1">
      <c r="A117" s="294" t="s">
        <v>220</v>
      </c>
    </row>
    <row r="118" spans="1:1">
      <c r="A118" s="294" t="s">
        <v>185</v>
      </c>
    </row>
    <row r="119" spans="1:1">
      <c r="A119" s="294" t="s">
        <v>221</v>
      </c>
    </row>
    <row r="120" spans="1:1">
      <c r="A120" s="294" t="s">
        <v>205</v>
      </c>
    </row>
    <row r="121" spans="1:1">
      <c r="A121" s="294" t="s">
        <v>202</v>
      </c>
    </row>
    <row r="122" spans="1:1">
      <c r="A122" s="294" t="s">
        <v>215</v>
      </c>
    </row>
    <row r="123" spans="1:1">
      <c r="A123" s="294" t="s">
        <v>180</v>
      </c>
    </row>
    <row r="124" spans="1:1">
      <c r="A124" s="294" t="s">
        <v>224</v>
      </c>
    </row>
    <row r="125" spans="1:1">
      <c r="A125" s="294" t="s">
        <v>200</v>
      </c>
    </row>
    <row r="126" spans="1:1">
      <c r="A126" s="294" t="s">
        <v>187</v>
      </c>
    </row>
    <row r="127" spans="1:1">
      <c r="A127" s="294" t="s">
        <v>186</v>
      </c>
    </row>
    <row r="128" spans="1:1">
      <c r="A128" s="294" t="s">
        <v>211</v>
      </c>
    </row>
    <row r="129" spans="1:1">
      <c r="A129" s="294" t="s">
        <v>155</v>
      </c>
    </row>
    <row r="130" spans="1:1">
      <c r="A130" s="294" t="s">
        <v>158</v>
      </c>
    </row>
    <row r="131" spans="1:1">
      <c r="A131" s="294" t="s">
        <v>190</v>
      </c>
    </row>
    <row r="132" spans="1:1">
      <c r="A132" s="294" t="s">
        <v>193</v>
      </c>
    </row>
    <row r="133" spans="1:1">
      <c r="A133" s="294" t="s">
        <v>184</v>
      </c>
    </row>
    <row r="134" spans="1:1">
      <c r="A134" s="294" t="s">
        <v>209</v>
      </c>
    </row>
    <row r="135" spans="1:1">
      <c r="A135" s="294" t="s">
        <v>152</v>
      </c>
    </row>
    <row r="136" spans="1:1">
      <c r="A136" s="294" t="s">
        <v>153</v>
      </c>
    </row>
    <row r="137" spans="1:1">
      <c r="A137" s="294" t="s">
        <v>197</v>
      </c>
    </row>
    <row r="138" spans="1:1">
      <c r="A138" s="294" t="s">
        <v>170</v>
      </c>
    </row>
    <row r="139" spans="1:1">
      <c r="A139" s="294" t="s">
        <v>176</v>
      </c>
    </row>
    <row r="140" spans="1:1">
      <c r="A140" s="294" t="s">
        <v>173</v>
      </c>
    </row>
    <row r="141" spans="1:1">
      <c r="A141" s="294" t="s">
        <v>212</v>
      </c>
    </row>
    <row r="142" spans="1:1">
      <c r="A142" s="294" t="s">
        <v>213</v>
      </c>
    </row>
    <row r="143" spans="1:1">
      <c r="A143" s="294" t="s">
        <v>166</v>
      </c>
    </row>
    <row r="144" spans="1:1">
      <c r="A144" s="294" t="s">
        <v>181</v>
      </c>
    </row>
    <row r="145" spans="1:1">
      <c r="A145" s="294" t="s">
        <v>189</v>
      </c>
    </row>
    <row r="146" spans="1:1">
      <c r="A146" s="294" t="s">
        <v>201</v>
      </c>
    </row>
    <row r="147" spans="1:1">
      <c r="A147" s="294" t="s">
        <v>195</v>
      </c>
    </row>
    <row r="148" spans="1:1">
      <c r="A148" s="294" t="s">
        <v>245</v>
      </c>
    </row>
    <row r="149" spans="1:1">
      <c r="A149" s="294" t="s">
        <v>243</v>
      </c>
    </row>
    <row r="150" spans="1:1">
      <c r="A150" s="294" t="s">
        <v>244</v>
      </c>
    </row>
    <row r="151" spans="1:1">
      <c r="A151" s="294" t="s">
        <v>249</v>
      </c>
    </row>
    <row r="152" spans="1:1">
      <c r="A152" s="294" t="s">
        <v>252</v>
      </c>
    </row>
    <row r="153" spans="1:1">
      <c r="A153" s="294" t="s">
        <v>425</v>
      </c>
    </row>
    <row r="154" spans="1:1">
      <c r="A154" s="294" t="s">
        <v>258</v>
      </c>
    </row>
    <row r="155" spans="1:1">
      <c r="A155" s="294" t="s">
        <v>248</v>
      </c>
    </row>
    <row r="156" spans="1:1">
      <c r="A156" s="294" t="s">
        <v>239</v>
      </c>
    </row>
    <row r="157" spans="1:1">
      <c r="A157" s="294" t="s">
        <v>250</v>
      </c>
    </row>
    <row r="158" spans="1:1">
      <c r="A158" s="294" t="s">
        <v>238</v>
      </c>
    </row>
    <row r="159" spans="1:1">
      <c r="A159" s="294" t="s">
        <v>261</v>
      </c>
    </row>
    <row r="160" spans="1:1">
      <c r="A160" s="294" t="s">
        <v>262</v>
      </c>
    </row>
    <row r="161" spans="1:1">
      <c r="A161" s="294" t="s">
        <v>240</v>
      </c>
    </row>
    <row r="162" spans="1:1">
      <c r="A162" s="294" t="s">
        <v>263</v>
      </c>
    </row>
    <row r="163" spans="1:1">
      <c r="A163" s="294" t="s">
        <v>254</v>
      </c>
    </row>
    <row r="164" spans="1:1">
      <c r="A164" s="294" t="s">
        <v>264</v>
      </c>
    </row>
    <row r="165" spans="1:1">
      <c r="A165" s="294" t="s">
        <v>259</v>
      </c>
    </row>
    <row r="166" spans="1:1">
      <c r="A166" s="294" t="s">
        <v>256</v>
      </c>
    </row>
    <row r="167" spans="1:1">
      <c r="A167" s="294" t="s">
        <v>255</v>
      </c>
    </row>
    <row r="168" spans="1:1">
      <c r="A168" s="294" t="s">
        <v>235</v>
      </c>
    </row>
    <row r="169" spans="1:1">
      <c r="A169" s="294" t="s">
        <v>237</v>
      </c>
    </row>
    <row r="170" spans="1:1">
      <c r="A170" s="294" t="s">
        <v>241</v>
      </c>
    </row>
    <row r="171" spans="1:1">
      <c r="A171" s="294" t="s">
        <v>253</v>
      </c>
    </row>
    <row r="172" spans="1:1">
      <c r="A172" s="294" t="s">
        <v>260</v>
      </c>
    </row>
    <row r="173" spans="1:1">
      <c r="A173" s="294" t="s">
        <v>242</v>
      </c>
    </row>
    <row r="174" spans="1:1">
      <c r="A174" s="294" t="s">
        <v>257</v>
      </c>
    </row>
    <row r="175" spans="1:1">
      <c r="A175" s="294" t="s">
        <v>426</v>
      </c>
    </row>
    <row r="176" spans="1:1">
      <c r="A176" s="294" t="s">
        <v>246</v>
      </c>
    </row>
    <row r="177" spans="1:1">
      <c r="A177" s="294" t="s">
        <v>251</v>
      </c>
    </row>
    <row r="178" spans="1:1">
      <c r="A178" s="294" t="s">
        <v>247</v>
      </c>
    </row>
    <row r="179" spans="1:1">
      <c r="A179" s="294" t="s">
        <v>236</v>
      </c>
    </row>
    <row r="180" spans="1:1">
      <c r="A180" s="294" t="s">
        <v>392</v>
      </c>
    </row>
    <row r="181" spans="1:1">
      <c r="A181" s="294" t="s">
        <v>281</v>
      </c>
    </row>
    <row r="182" spans="1:1">
      <c r="A182" s="294" t="s">
        <v>268</v>
      </c>
    </row>
    <row r="183" spans="1:1">
      <c r="A183" s="294" t="s">
        <v>275</v>
      </c>
    </row>
    <row r="184" spans="1:1">
      <c r="A184" s="294" t="s">
        <v>287</v>
      </c>
    </row>
    <row r="185" spans="1:1">
      <c r="A185" s="294" t="s">
        <v>284</v>
      </c>
    </row>
    <row r="186" spans="1:1">
      <c r="A186" s="294" t="s">
        <v>283</v>
      </c>
    </row>
    <row r="187" spans="1:1">
      <c r="A187" s="294" t="s">
        <v>267</v>
      </c>
    </row>
    <row r="188" spans="1:1">
      <c r="A188" s="294" t="s">
        <v>273</v>
      </c>
    </row>
    <row r="189" spans="1:1">
      <c r="A189" s="294" t="s">
        <v>269</v>
      </c>
    </row>
    <row r="190" spans="1:1">
      <c r="A190" s="294" t="s">
        <v>285</v>
      </c>
    </row>
    <row r="191" spans="1:1">
      <c r="A191" s="294" t="s">
        <v>266</v>
      </c>
    </row>
    <row r="192" spans="1:1">
      <c r="A192" s="294" t="s">
        <v>277</v>
      </c>
    </row>
    <row r="193" spans="1:1">
      <c r="A193" s="294" t="s">
        <v>280</v>
      </c>
    </row>
    <row r="194" spans="1:1">
      <c r="A194" s="294" t="s">
        <v>279</v>
      </c>
    </row>
    <row r="195" spans="1:1">
      <c r="A195" s="294" t="s">
        <v>288</v>
      </c>
    </row>
    <row r="196" spans="1:1">
      <c r="A196" s="294" t="s">
        <v>428</v>
      </c>
    </row>
    <row r="197" spans="1:1">
      <c r="A197" s="294" t="s">
        <v>265</v>
      </c>
    </row>
    <row r="198" spans="1:1">
      <c r="A198" s="294" t="s">
        <v>427</v>
      </c>
    </row>
    <row r="199" spans="1:1">
      <c r="A199" s="294" t="s">
        <v>282</v>
      </c>
    </row>
    <row r="200" spans="1:1">
      <c r="A200" s="294" t="s">
        <v>276</v>
      </c>
    </row>
    <row r="201" spans="1:1">
      <c r="A201" s="294" t="s">
        <v>271</v>
      </c>
    </row>
    <row r="202" spans="1:1">
      <c r="A202" s="294" t="s">
        <v>274</v>
      </c>
    </row>
    <row r="203" spans="1:1">
      <c r="A203" s="294" t="s">
        <v>278</v>
      </c>
    </row>
    <row r="204" spans="1:1">
      <c r="A204" s="294" t="s">
        <v>272</v>
      </c>
    </row>
    <row r="205" spans="1:1">
      <c r="A205" s="294" t="s">
        <v>397</v>
      </c>
    </row>
    <row r="206" spans="1:1">
      <c r="A206" s="294" t="s">
        <v>398</v>
      </c>
    </row>
    <row r="207" spans="1:1">
      <c r="A207" s="294" t="s">
        <v>270</v>
      </c>
    </row>
    <row r="208" spans="1:1">
      <c r="A208" s="294" t="s">
        <v>391</v>
      </c>
    </row>
    <row r="209" spans="1:1">
      <c r="A209" s="294" t="s">
        <v>390</v>
      </c>
    </row>
    <row r="210" spans="1:1">
      <c r="A210" s="294" t="s">
        <v>312</v>
      </c>
    </row>
    <row r="211" spans="1:1">
      <c r="A211" s="294" t="s">
        <v>317</v>
      </c>
    </row>
    <row r="212" spans="1:1">
      <c r="A212" s="294" t="s">
        <v>331</v>
      </c>
    </row>
    <row r="213" spans="1:1">
      <c r="A213" s="294" t="s">
        <v>334</v>
      </c>
    </row>
    <row r="214" spans="1:1">
      <c r="A214" s="294" t="s">
        <v>329</v>
      </c>
    </row>
    <row r="215" spans="1:1">
      <c r="A215" s="294" t="s">
        <v>301</v>
      </c>
    </row>
    <row r="216" spans="1:1">
      <c r="A216" s="294" t="s">
        <v>399</v>
      </c>
    </row>
    <row r="217" spans="1:1">
      <c r="A217" s="294" t="s">
        <v>332</v>
      </c>
    </row>
    <row r="218" spans="1:1">
      <c r="A218" s="294" t="s">
        <v>313</v>
      </c>
    </row>
    <row r="219" spans="1:1">
      <c r="A219" s="294" t="s">
        <v>320</v>
      </c>
    </row>
    <row r="220" spans="1:1">
      <c r="A220" s="294" t="s">
        <v>431</v>
      </c>
    </row>
    <row r="221" spans="1:1">
      <c r="A221" s="294" t="s">
        <v>296</v>
      </c>
    </row>
    <row r="222" spans="1:1">
      <c r="A222" s="294" t="s">
        <v>326</v>
      </c>
    </row>
    <row r="223" spans="1:1">
      <c r="A223" s="294" t="s">
        <v>291</v>
      </c>
    </row>
    <row r="224" spans="1:1">
      <c r="A224" s="294" t="s">
        <v>305</v>
      </c>
    </row>
    <row r="225" spans="1:1">
      <c r="A225" s="294" t="s">
        <v>292</v>
      </c>
    </row>
    <row r="226" spans="1:1">
      <c r="A226" s="294" t="s">
        <v>295</v>
      </c>
    </row>
    <row r="227" spans="1:1">
      <c r="A227" s="294" t="s">
        <v>294</v>
      </c>
    </row>
    <row r="228" spans="1:1">
      <c r="A228" s="294" t="s">
        <v>333</v>
      </c>
    </row>
    <row r="229" spans="1:1">
      <c r="A229" s="294" t="s">
        <v>327</v>
      </c>
    </row>
    <row r="230" spans="1:1">
      <c r="A230" s="294" t="s">
        <v>430</v>
      </c>
    </row>
    <row r="231" spans="1:1">
      <c r="A231" s="294" t="s">
        <v>302</v>
      </c>
    </row>
    <row r="232" spans="1:1">
      <c r="A232" s="294" t="s">
        <v>299</v>
      </c>
    </row>
    <row r="233" spans="1:1">
      <c r="A233" s="294" t="s">
        <v>308</v>
      </c>
    </row>
    <row r="234" spans="1:1">
      <c r="A234" s="294" t="s">
        <v>319</v>
      </c>
    </row>
    <row r="235" spans="1:1">
      <c r="A235" s="294" t="s">
        <v>316</v>
      </c>
    </row>
    <row r="236" spans="1:1">
      <c r="A236" s="294" t="s">
        <v>290</v>
      </c>
    </row>
    <row r="237" spans="1:1">
      <c r="A237" s="294" t="s">
        <v>328</v>
      </c>
    </row>
    <row r="238" spans="1:1">
      <c r="A238" s="294" t="s">
        <v>310</v>
      </c>
    </row>
    <row r="239" spans="1:1">
      <c r="A239" s="294" t="s">
        <v>324</v>
      </c>
    </row>
    <row r="240" spans="1:1">
      <c r="A240" s="294" t="s">
        <v>289</v>
      </c>
    </row>
    <row r="241" spans="1:1">
      <c r="A241" s="294" t="s">
        <v>315</v>
      </c>
    </row>
    <row r="242" spans="1:1">
      <c r="A242" s="294" t="s">
        <v>298</v>
      </c>
    </row>
    <row r="243" spans="1:1">
      <c r="A243" s="294" t="s">
        <v>321</v>
      </c>
    </row>
    <row r="244" spans="1:1">
      <c r="A244" s="294" t="s">
        <v>330</v>
      </c>
    </row>
    <row r="245" spans="1:1">
      <c r="A245" s="294" t="s">
        <v>314</v>
      </c>
    </row>
    <row r="246" spans="1:1">
      <c r="A246" s="294" t="s">
        <v>453</v>
      </c>
    </row>
    <row r="247" spans="1:1">
      <c r="A247" s="294" t="s">
        <v>429</v>
      </c>
    </row>
    <row r="248" spans="1:1">
      <c r="A248" s="294" t="s">
        <v>303</v>
      </c>
    </row>
    <row r="249" spans="1:1">
      <c r="A249" s="294" t="s">
        <v>322</v>
      </c>
    </row>
    <row r="250" spans="1:1">
      <c r="A250" s="294" t="s">
        <v>323</v>
      </c>
    </row>
    <row r="251" spans="1:1">
      <c r="A251" s="294" t="s">
        <v>325</v>
      </c>
    </row>
    <row r="252" spans="1:1">
      <c r="A252" s="294" t="s">
        <v>297</v>
      </c>
    </row>
    <row r="253" spans="1:1">
      <c r="A253" s="294" t="s">
        <v>311</v>
      </c>
    </row>
    <row r="254" spans="1:1">
      <c r="A254" s="294" t="s">
        <v>307</v>
      </c>
    </row>
    <row r="255" spans="1:1">
      <c r="A255" s="294" t="s">
        <v>300</v>
      </c>
    </row>
    <row r="256" spans="1:1">
      <c r="A256" s="294" t="s">
        <v>309</v>
      </c>
    </row>
    <row r="257" spans="1:1">
      <c r="A257" s="294" t="s">
        <v>306</v>
      </c>
    </row>
    <row r="258" spans="1:1">
      <c r="A258" s="294" t="s">
        <v>293</v>
      </c>
    </row>
    <row r="259" spans="1:1">
      <c r="A259" s="294" t="s">
        <v>304</v>
      </c>
    </row>
    <row r="260" spans="1:1">
      <c r="A260" s="294" t="s">
        <v>335</v>
      </c>
    </row>
    <row r="261" spans="1:1">
      <c r="A261" s="294" t="s">
        <v>360</v>
      </c>
    </row>
    <row r="262" spans="1:1">
      <c r="A262" s="294" t="s">
        <v>343</v>
      </c>
    </row>
    <row r="263" spans="1:1">
      <c r="A263" s="294" t="s">
        <v>340</v>
      </c>
    </row>
    <row r="264" spans="1:1">
      <c r="A264" s="294" t="s">
        <v>435</v>
      </c>
    </row>
    <row r="265" spans="1:1">
      <c r="A265" s="294" t="s">
        <v>434</v>
      </c>
    </row>
    <row r="266" spans="1:1">
      <c r="A266" s="294" t="s">
        <v>349</v>
      </c>
    </row>
    <row r="267" spans="1:1">
      <c r="A267" s="294" t="s">
        <v>400</v>
      </c>
    </row>
    <row r="268" spans="1:1">
      <c r="A268" s="294" t="s">
        <v>433</v>
      </c>
    </row>
    <row r="269" spans="1:1">
      <c r="A269" s="294" t="s">
        <v>342</v>
      </c>
    </row>
    <row r="270" spans="1:1">
      <c r="A270" s="294" t="s">
        <v>436</v>
      </c>
    </row>
    <row r="271" spans="1:1">
      <c r="A271" s="294" t="s">
        <v>344</v>
      </c>
    </row>
    <row r="272" spans="1:1">
      <c r="A272" s="294" t="s">
        <v>351</v>
      </c>
    </row>
    <row r="273" spans="1:1">
      <c r="A273" s="294" t="s">
        <v>363</v>
      </c>
    </row>
    <row r="274" spans="1:1">
      <c r="A274" s="294" t="s">
        <v>353</v>
      </c>
    </row>
    <row r="275" spans="1:1">
      <c r="A275" s="294" t="s">
        <v>454</v>
      </c>
    </row>
    <row r="276" spans="1:1">
      <c r="A276" s="294" t="s">
        <v>359</v>
      </c>
    </row>
    <row r="277" spans="1:1">
      <c r="A277" s="294" t="s">
        <v>357</v>
      </c>
    </row>
    <row r="278" spans="1:1">
      <c r="A278" s="294" t="s">
        <v>352</v>
      </c>
    </row>
    <row r="279" spans="1:1">
      <c r="A279" s="294" t="s">
        <v>336</v>
      </c>
    </row>
    <row r="280" spans="1:1">
      <c r="A280" s="294" t="s">
        <v>455</v>
      </c>
    </row>
    <row r="281" spans="1:1">
      <c r="A281" s="294" t="s">
        <v>456</v>
      </c>
    </row>
    <row r="282" spans="1:1">
      <c r="A282" s="294" t="s">
        <v>338</v>
      </c>
    </row>
    <row r="283" spans="1:1">
      <c r="A283" s="294" t="s">
        <v>350</v>
      </c>
    </row>
    <row r="284" spans="1:1">
      <c r="A284" s="294" t="s">
        <v>345</v>
      </c>
    </row>
    <row r="285" spans="1:1">
      <c r="A285" s="294" t="s">
        <v>361</v>
      </c>
    </row>
    <row r="286" spans="1:1">
      <c r="A286" s="294" t="s">
        <v>355</v>
      </c>
    </row>
    <row r="287" spans="1:1">
      <c r="A287" s="294" t="s">
        <v>432</v>
      </c>
    </row>
    <row r="288" spans="1:1">
      <c r="A288" s="294" t="s">
        <v>364</v>
      </c>
    </row>
    <row r="289" spans="1:1">
      <c r="A289" s="294" t="s">
        <v>348</v>
      </c>
    </row>
    <row r="290" spans="1:1">
      <c r="A290" s="294" t="s">
        <v>356</v>
      </c>
    </row>
    <row r="291" spans="1:1">
      <c r="A291" s="294" t="s">
        <v>365</v>
      </c>
    </row>
    <row r="292" spans="1:1">
      <c r="A292" s="294" t="s">
        <v>354</v>
      </c>
    </row>
    <row r="293" spans="1:1">
      <c r="A293" s="294" t="s">
        <v>341</v>
      </c>
    </row>
    <row r="294" spans="1:1">
      <c r="A294" s="294" t="s">
        <v>358</v>
      </c>
    </row>
    <row r="295" spans="1:1">
      <c r="A295" s="294" t="s">
        <v>346</v>
      </c>
    </row>
    <row r="296" spans="1:1">
      <c r="A296" s="294" t="s">
        <v>347</v>
      </c>
    </row>
    <row r="297" spans="1:1">
      <c r="A297" s="294" t="s">
        <v>337</v>
      </c>
    </row>
    <row r="298" spans="1:1">
      <c r="A298" s="294" t="s">
        <v>457</v>
      </c>
    </row>
    <row r="299" spans="1:1">
      <c r="A299" s="294" t="s">
        <v>458</v>
      </c>
    </row>
    <row r="300" spans="1:1">
      <c r="A300" s="294" t="s">
        <v>362</v>
      </c>
    </row>
    <row r="301" spans="1:1">
      <c r="A301" s="296" t="s">
        <v>394</v>
      </c>
    </row>
    <row r="302" spans="1:1">
      <c r="A302" s="296" t="s">
        <v>101</v>
      </c>
    </row>
    <row r="303" spans="1:1">
      <c r="A303" s="296" t="s">
        <v>103</v>
      </c>
    </row>
    <row r="304" spans="1:1">
      <c r="A304" s="296" t="s">
        <v>100</v>
      </c>
    </row>
    <row r="305" spans="1:2">
      <c r="A305" s="296" t="s">
        <v>127</v>
      </c>
    </row>
    <row r="306" spans="1:2">
      <c r="A306" s="296" t="s">
        <v>524</v>
      </c>
    </row>
    <row r="307" spans="1:2">
      <c r="A307" s="296" t="s">
        <v>137</v>
      </c>
    </row>
    <row r="308" spans="1:2">
      <c r="A308" s="296" t="s">
        <v>523</v>
      </c>
    </row>
    <row r="309" spans="1:2">
      <c r="A309" s="296" t="s">
        <v>226</v>
      </c>
    </row>
    <row r="310" spans="1:2">
      <c r="A310" s="296" t="s">
        <v>218</v>
      </c>
    </row>
    <row r="311" spans="1:2">
      <c r="A311" s="296" t="s">
        <v>232</v>
      </c>
    </row>
    <row r="312" spans="1:2">
      <c r="A312" s="296" t="s">
        <v>199</v>
      </c>
    </row>
    <row r="313" spans="1:2">
      <c r="A313" s="296" t="s">
        <v>219</v>
      </c>
    </row>
    <row r="314" spans="1:2">
      <c r="A314" s="296" t="s">
        <v>389</v>
      </c>
    </row>
    <row r="315" spans="1:2">
      <c r="A315" s="296" t="s">
        <v>217</v>
      </c>
    </row>
    <row r="316" spans="1:2">
      <c r="A316" s="296" t="s">
        <v>318</v>
      </c>
    </row>
    <row r="317" spans="1:2">
      <c r="A317" s="296" t="s">
        <v>339</v>
      </c>
    </row>
    <row r="318" spans="1:2">
      <c r="A318" s="295" t="s">
        <v>94</v>
      </c>
    </row>
    <row r="319" spans="1:2">
      <c r="A319" s="295" t="s">
        <v>95</v>
      </c>
    </row>
    <row r="320" spans="1:2">
      <c r="A320" s="387" t="s">
        <v>525</v>
      </c>
      <c r="B320" t="s">
        <v>526</v>
      </c>
    </row>
    <row r="321" spans="1:1">
      <c r="A321" s="297"/>
    </row>
    <row r="322" spans="1:1">
      <c r="A322" s="297"/>
    </row>
    <row r="323" spans="1:1">
      <c r="A323" s="297"/>
    </row>
    <row r="324" spans="1:1">
      <c r="A324" s="297"/>
    </row>
    <row r="325" spans="1:1">
      <c r="A325" s="297"/>
    </row>
    <row r="326" spans="1:1">
      <c r="A326" s="298"/>
    </row>
    <row r="327" spans="1:1">
      <c r="A327" s="298"/>
    </row>
    <row r="328" spans="1:1">
      <c r="A328" s="298"/>
    </row>
    <row r="329" spans="1:1">
      <c r="A329" s="297"/>
    </row>
    <row r="330" spans="1:1">
      <c r="A330" s="297"/>
    </row>
    <row r="331" spans="1:1">
      <c r="A331" s="297"/>
    </row>
    <row r="332" spans="1:1">
      <c r="A332" s="299"/>
    </row>
    <row r="333" spans="1:1">
      <c r="A333" s="297"/>
    </row>
    <row r="334" spans="1:1">
      <c r="A334" s="297"/>
    </row>
    <row r="335" spans="1:1">
      <c r="A335" s="297"/>
    </row>
    <row r="336" spans="1:1">
      <c r="A336" s="297"/>
    </row>
    <row r="337" spans="1:1">
      <c r="A337" s="299"/>
    </row>
    <row r="338" spans="1:1">
      <c r="A338" s="297"/>
    </row>
    <row r="339" spans="1:1">
      <c r="A339" s="297"/>
    </row>
    <row r="340" spans="1:1">
      <c r="A340" s="297"/>
    </row>
    <row r="341" spans="1:1">
      <c r="A341" s="297"/>
    </row>
    <row r="342" spans="1:1">
      <c r="A342" s="297"/>
    </row>
    <row r="343" spans="1:1">
      <c r="A343" s="297"/>
    </row>
    <row r="344" spans="1:1">
      <c r="A344" s="299"/>
    </row>
    <row r="345" spans="1:1">
      <c r="A345" s="297"/>
    </row>
    <row r="346" spans="1:1">
      <c r="A346" s="297"/>
    </row>
    <row r="347" spans="1:1">
      <c r="A347" s="297"/>
    </row>
    <row r="348" spans="1:1">
      <c r="A348" s="297"/>
    </row>
    <row r="349" spans="1:1">
      <c r="A349" s="297"/>
    </row>
    <row r="350" spans="1:1">
      <c r="A350" s="297"/>
    </row>
    <row r="351" spans="1:1">
      <c r="A351" s="297"/>
    </row>
    <row r="352" spans="1:1">
      <c r="A352" s="297"/>
    </row>
    <row r="353" spans="1:1">
      <c r="A353" s="297"/>
    </row>
    <row r="354" spans="1:1">
      <c r="A354" s="297"/>
    </row>
    <row r="355" spans="1:1">
      <c r="A355" s="297"/>
    </row>
    <row r="356" spans="1:1">
      <c r="A356" s="297"/>
    </row>
    <row r="357" spans="1:1">
      <c r="A357" s="297"/>
    </row>
    <row r="358" spans="1:1">
      <c r="A358" s="297"/>
    </row>
    <row r="359" spans="1:1">
      <c r="A359" s="297"/>
    </row>
    <row r="360" spans="1:1">
      <c r="A360" s="297"/>
    </row>
    <row r="361" spans="1:1">
      <c r="A361" s="297"/>
    </row>
    <row r="362" spans="1:1">
      <c r="A362" s="297"/>
    </row>
    <row r="363" spans="1:1">
      <c r="A363" s="297"/>
    </row>
    <row r="364" spans="1:1">
      <c r="A364" s="298"/>
    </row>
    <row r="365" spans="1:1">
      <c r="A365" s="297"/>
    </row>
    <row r="366" spans="1:1">
      <c r="A366" s="297"/>
    </row>
    <row r="367" spans="1:1">
      <c r="A367" s="297"/>
    </row>
    <row r="368" spans="1:1">
      <c r="A368" s="297"/>
    </row>
    <row r="369" spans="1:1">
      <c r="A369" s="297"/>
    </row>
    <row r="370" spans="1:1">
      <c r="A370" s="297"/>
    </row>
    <row r="371" spans="1:1">
      <c r="A371" s="297"/>
    </row>
    <row r="372" spans="1:1">
      <c r="A372" s="297"/>
    </row>
    <row r="373" spans="1:1">
      <c r="A373" s="297"/>
    </row>
    <row r="374" spans="1:1">
      <c r="A374" s="298"/>
    </row>
    <row r="375" spans="1:1">
      <c r="A375" s="297"/>
    </row>
    <row r="376" spans="1:1">
      <c r="A376" s="297"/>
    </row>
    <row r="377" spans="1:1">
      <c r="A377" s="297"/>
    </row>
    <row r="378" spans="1:1">
      <c r="A378" s="299"/>
    </row>
    <row r="379" spans="1:1">
      <c r="A379" s="299"/>
    </row>
    <row r="380" spans="1:1">
      <c r="A380" s="297"/>
    </row>
    <row r="381" spans="1:1">
      <c r="A381" s="297"/>
    </row>
    <row r="382" spans="1:1">
      <c r="A382" s="297"/>
    </row>
    <row r="383" spans="1:1">
      <c r="A383" s="297"/>
    </row>
    <row r="384" spans="1:1">
      <c r="A384" s="297"/>
    </row>
    <row r="385" spans="1:1">
      <c r="A385" s="297"/>
    </row>
    <row r="386" spans="1:1">
      <c r="A386" s="297"/>
    </row>
    <row r="387" spans="1:1">
      <c r="A387" s="297"/>
    </row>
    <row r="388" spans="1:1">
      <c r="A388" s="297"/>
    </row>
    <row r="389" spans="1:1">
      <c r="A389" s="297"/>
    </row>
    <row r="390" spans="1:1">
      <c r="A390" s="297"/>
    </row>
    <row r="391" spans="1:1">
      <c r="A391" s="297"/>
    </row>
    <row r="392" spans="1:1">
      <c r="A392" s="297"/>
    </row>
    <row r="393" spans="1:1">
      <c r="A393" s="297"/>
    </row>
    <row r="394" spans="1:1">
      <c r="A394" s="300"/>
    </row>
    <row r="395" spans="1:1">
      <c r="A395" s="297"/>
    </row>
    <row r="396" spans="1:1">
      <c r="A396" s="297"/>
    </row>
    <row r="397" spans="1:1">
      <c r="A397" s="298"/>
    </row>
    <row r="398" spans="1:1">
      <c r="A398" s="297"/>
    </row>
    <row r="399" spans="1:1">
      <c r="A399" s="297"/>
    </row>
    <row r="400" spans="1:1">
      <c r="A400" s="297"/>
    </row>
    <row r="401" spans="1:1">
      <c r="A401" s="297"/>
    </row>
    <row r="402" spans="1:1">
      <c r="A402" s="297"/>
    </row>
    <row r="403" spans="1:1">
      <c r="A403" s="297"/>
    </row>
    <row r="404" spans="1:1">
      <c r="A404" s="297"/>
    </row>
    <row r="405" spans="1:1">
      <c r="A405" s="297"/>
    </row>
    <row r="406" spans="1:1">
      <c r="A406" s="297"/>
    </row>
    <row r="407" spans="1:1">
      <c r="A407" s="297"/>
    </row>
    <row r="408" spans="1:1">
      <c r="A408" s="297"/>
    </row>
    <row r="409" spans="1:1">
      <c r="A409" s="297"/>
    </row>
    <row r="410" spans="1:1">
      <c r="A410" s="297"/>
    </row>
    <row r="411" spans="1:1">
      <c r="A411" s="297"/>
    </row>
    <row r="412" spans="1:1">
      <c r="A412" s="297"/>
    </row>
    <row r="413" spans="1:1">
      <c r="A413" s="297"/>
    </row>
    <row r="414" spans="1:1">
      <c r="A414" s="297"/>
    </row>
    <row r="415" spans="1:1">
      <c r="A415" s="297"/>
    </row>
    <row r="416" spans="1:1">
      <c r="A416" s="297"/>
    </row>
    <row r="417" spans="1:1">
      <c r="A417" s="297"/>
    </row>
    <row r="418" spans="1:1">
      <c r="A418" s="297"/>
    </row>
    <row r="419" spans="1:1">
      <c r="A419" s="297"/>
    </row>
    <row r="420" spans="1:1">
      <c r="A420" s="297"/>
    </row>
    <row r="421" spans="1:1">
      <c r="A421" s="297"/>
    </row>
    <row r="422" spans="1:1">
      <c r="A422" s="297"/>
    </row>
    <row r="423" spans="1:1">
      <c r="A423" s="297"/>
    </row>
    <row r="424" spans="1:1">
      <c r="A424" s="297"/>
    </row>
    <row r="425" spans="1:1">
      <c r="A425" s="297"/>
    </row>
    <row r="426" spans="1:1">
      <c r="A426" s="297"/>
    </row>
    <row r="427" spans="1:1">
      <c r="A427" s="297"/>
    </row>
    <row r="428" spans="1:1">
      <c r="A428" s="297"/>
    </row>
    <row r="429" spans="1:1">
      <c r="A429" s="297"/>
    </row>
    <row r="430" spans="1:1">
      <c r="A430" s="297"/>
    </row>
    <row r="431" spans="1:1">
      <c r="A431" s="297"/>
    </row>
    <row r="432" spans="1:1">
      <c r="A432" s="297"/>
    </row>
    <row r="433" spans="1:1">
      <c r="A433" s="297"/>
    </row>
    <row r="434" spans="1:1">
      <c r="A434" s="299"/>
    </row>
    <row r="435" spans="1:1">
      <c r="A435" s="301"/>
    </row>
    <row r="436" spans="1:1">
      <c r="A436" s="297"/>
    </row>
    <row r="437" spans="1:1">
      <c r="A437" s="297"/>
    </row>
    <row r="438" spans="1:1">
      <c r="A438" s="297"/>
    </row>
    <row r="439" spans="1:1">
      <c r="A439" s="297"/>
    </row>
    <row r="440" spans="1:1">
      <c r="A440" s="297"/>
    </row>
    <row r="441" spans="1:1">
      <c r="A441" s="297"/>
    </row>
    <row r="442" spans="1:1">
      <c r="A442" s="298"/>
    </row>
    <row r="443" spans="1:1">
      <c r="A443" s="297"/>
    </row>
    <row r="444" spans="1:1">
      <c r="A444" s="297"/>
    </row>
    <row r="445" spans="1:1">
      <c r="A445" s="297"/>
    </row>
    <row r="446" spans="1:1">
      <c r="A446" s="297"/>
    </row>
    <row r="447" spans="1:1">
      <c r="A447" s="297"/>
    </row>
    <row r="448" spans="1:1">
      <c r="A448" s="297"/>
    </row>
    <row r="449" spans="1:1">
      <c r="A449" s="297"/>
    </row>
    <row r="450" spans="1:1">
      <c r="A450" s="297"/>
    </row>
    <row r="451" spans="1:1">
      <c r="A451" s="297"/>
    </row>
    <row r="452" spans="1:1">
      <c r="A452" s="297"/>
    </row>
    <row r="453" spans="1:1">
      <c r="A453" s="297"/>
    </row>
    <row r="454" spans="1:1">
      <c r="A454" s="297"/>
    </row>
    <row r="455" spans="1:1">
      <c r="A455" s="297"/>
    </row>
    <row r="456" spans="1:1">
      <c r="A456" s="297"/>
    </row>
    <row r="457" spans="1:1">
      <c r="A457" s="297"/>
    </row>
    <row r="458" spans="1:1">
      <c r="A458" s="297"/>
    </row>
    <row r="459" spans="1:1">
      <c r="A459" s="299"/>
    </row>
    <row r="460" spans="1:1">
      <c r="A460" s="297"/>
    </row>
    <row r="461" spans="1:1">
      <c r="A461" s="299"/>
    </row>
    <row r="462" spans="1:1">
      <c r="A462" s="297"/>
    </row>
    <row r="463" spans="1:1">
      <c r="A463" s="297"/>
    </row>
    <row r="464" spans="1:1">
      <c r="A464" s="297"/>
    </row>
    <row r="465" spans="1:1">
      <c r="A465" s="297"/>
    </row>
    <row r="466" spans="1:1">
      <c r="A466" s="297"/>
    </row>
    <row r="467" spans="1:1">
      <c r="A467" s="297"/>
    </row>
    <row r="468" spans="1:1">
      <c r="A468" s="297"/>
    </row>
    <row r="469" spans="1:1">
      <c r="A469" s="297"/>
    </row>
    <row r="470" spans="1:1">
      <c r="A470" s="370"/>
    </row>
    <row r="471" spans="1:1">
      <c r="A471" s="297"/>
    </row>
    <row r="472" spans="1:1">
      <c r="A472" s="297"/>
    </row>
    <row r="473" spans="1:1">
      <c r="A473" s="299"/>
    </row>
    <row r="474" spans="1:1">
      <c r="A474" s="299"/>
    </row>
    <row r="475" spans="1:1">
      <c r="A475" s="297"/>
    </row>
    <row r="476" spans="1:1">
      <c r="A476" s="297"/>
    </row>
    <row r="477" spans="1:1">
      <c r="A477" s="297"/>
    </row>
    <row r="478" spans="1:1">
      <c r="A478" s="297"/>
    </row>
    <row r="479" spans="1:1">
      <c r="A479" s="297"/>
    </row>
    <row r="480" spans="1:1">
      <c r="A480" s="297"/>
    </row>
    <row r="481" spans="1:1">
      <c r="A481" s="297"/>
    </row>
    <row r="482" spans="1:1">
      <c r="A482" s="299"/>
    </row>
    <row r="483" spans="1:1">
      <c r="A483" s="297"/>
    </row>
    <row r="484" spans="1:1">
      <c r="A484" s="370"/>
    </row>
    <row r="485" spans="1:1">
      <c r="A485" s="297"/>
    </row>
    <row r="486" spans="1:1">
      <c r="A486" s="297"/>
    </row>
    <row r="487" spans="1:1">
      <c r="A487" s="297"/>
    </row>
    <row r="488" spans="1:1">
      <c r="A488" s="297"/>
    </row>
    <row r="489" spans="1:1">
      <c r="A489" s="297"/>
    </row>
    <row r="490" spans="1:1">
      <c r="A490" s="297"/>
    </row>
    <row r="491" spans="1:1">
      <c r="A491" s="297"/>
    </row>
    <row r="492" spans="1:1">
      <c r="A492" s="297"/>
    </row>
    <row r="493" spans="1:1">
      <c r="A493" s="297"/>
    </row>
    <row r="494" spans="1:1">
      <c r="A494" s="297"/>
    </row>
    <row r="495" spans="1:1">
      <c r="A495" s="297"/>
    </row>
    <row r="496" spans="1:1">
      <c r="A496" s="297"/>
    </row>
    <row r="497" spans="1:1">
      <c r="A497" s="302"/>
    </row>
    <row r="498" spans="1:1">
      <c r="A498" s="370"/>
    </row>
    <row r="499" spans="1:1">
      <c r="A499" s="297"/>
    </row>
    <row r="500" spans="1:1">
      <c r="A500" s="297"/>
    </row>
    <row r="501" spans="1:1">
      <c r="A501" s="297"/>
    </row>
    <row r="502" spans="1:1">
      <c r="A502" s="297"/>
    </row>
    <row r="503" spans="1:1">
      <c r="A503" s="297"/>
    </row>
    <row r="504" spans="1:1">
      <c r="A504" s="297"/>
    </row>
    <row r="505" spans="1:1">
      <c r="A505" s="297"/>
    </row>
    <row r="506" spans="1:1">
      <c r="A506" s="297"/>
    </row>
    <row r="507" spans="1:1">
      <c r="A507" s="297"/>
    </row>
    <row r="508" spans="1:1">
      <c r="A508" s="297"/>
    </row>
    <row r="509" spans="1:1">
      <c r="A509" s="297"/>
    </row>
    <row r="510" spans="1:1">
      <c r="A510" s="297"/>
    </row>
    <row r="511" spans="1:1">
      <c r="A511" s="297"/>
    </row>
    <row r="512" spans="1:1">
      <c r="A512" s="297"/>
    </row>
    <row r="513" spans="1:1">
      <c r="A513" s="302"/>
    </row>
    <row r="514" spans="1:1">
      <c r="A514" s="297"/>
    </row>
    <row r="515" spans="1:1">
      <c r="A515" s="297"/>
    </row>
    <row r="516" spans="1:1">
      <c r="A516" s="297"/>
    </row>
    <row r="517" spans="1:1">
      <c r="A517" s="297"/>
    </row>
    <row r="518" spans="1:1">
      <c r="A518" s="297"/>
    </row>
    <row r="519" spans="1:1">
      <c r="A519" s="297"/>
    </row>
    <row r="520" spans="1:1">
      <c r="A520" s="297"/>
    </row>
    <row r="521" spans="1:1">
      <c r="A521" s="297"/>
    </row>
    <row r="522" spans="1:1">
      <c r="A522" s="297"/>
    </row>
    <row r="523" spans="1:1">
      <c r="A523" s="297"/>
    </row>
    <row r="524" spans="1:1">
      <c r="A524" s="297"/>
    </row>
    <row r="525" spans="1:1">
      <c r="A525" s="297"/>
    </row>
    <row r="526" spans="1:1">
      <c r="A526" s="297"/>
    </row>
    <row r="527" spans="1:1">
      <c r="A527" s="297"/>
    </row>
    <row r="528" spans="1:1">
      <c r="A528" s="297"/>
    </row>
    <row r="529" spans="1:1">
      <c r="A529" s="302"/>
    </row>
    <row r="530" spans="1:1">
      <c r="A530" s="297"/>
    </row>
    <row r="531" spans="1:1">
      <c r="A531" s="297"/>
    </row>
    <row r="532" spans="1:1">
      <c r="A532" s="297"/>
    </row>
    <row r="533" spans="1:1">
      <c r="A533" s="297"/>
    </row>
    <row r="534" spans="1:1">
      <c r="A534" s="297"/>
    </row>
    <row r="535" spans="1:1">
      <c r="A535" s="297"/>
    </row>
    <row r="536" spans="1:1">
      <c r="A536" s="297"/>
    </row>
    <row r="537" spans="1:1">
      <c r="A537" s="297"/>
    </row>
    <row r="538" spans="1:1">
      <c r="A538" s="297"/>
    </row>
    <row r="539" spans="1:1">
      <c r="A539" s="297"/>
    </row>
    <row r="540" spans="1:1">
      <c r="A540" s="297"/>
    </row>
    <row r="541" spans="1:1">
      <c r="A541" s="297"/>
    </row>
    <row r="542" spans="1:1">
      <c r="A542" s="297"/>
    </row>
    <row r="543" spans="1:1">
      <c r="A543" s="297"/>
    </row>
    <row r="544" spans="1:1">
      <c r="A544" s="297"/>
    </row>
    <row r="545" spans="1:1">
      <c r="A545" s="297"/>
    </row>
    <row r="546" spans="1:1">
      <c r="A546" s="297"/>
    </row>
    <row r="547" spans="1:1">
      <c r="A547" s="297"/>
    </row>
    <row r="548" spans="1:1">
      <c r="A548" s="297"/>
    </row>
    <row r="549" spans="1:1">
      <c r="A549" s="297"/>
    </row>
    <row r="550" spans="1:1">
      <c r="A550" s="297"/>
    </row>
    <row r="551" spans="1:1">
      <c r="A551" s="297"/>
    </row>
    <row r="552" spans="1:1">
      <c r="A552" s="297"/>
    </row>
    <row r="553" spans="1:1">
      <c r="A553" s="297"/>
    </row>
    <row r="554" spans="1:1">
      <c r="A554" s="297"/>
    </row>
    <row r="555" spans="1:1">
      <c r="A555" s="297"/>
    </row>
    <row r="556" spans="1:1">
      <c r="A556" s="297"/>
    </row>
    <row r="557" spans="1:1">
      <c r="A557" s="297"/>
    </row>
    <row r="558" spans="1:1">
      <c r="A558" s="370"/>
    </row>
    <row r="559" spans="1:1">
      <c r="A559" s="297"/>
    </row>
    <row r="560" spans="1:1">
      <c r="A560" s="297"/>
    </row>
    <row r="561" spans="1:1">
      <c r="A561" s="297"/>
    </row>
    <row r="562" spans="1:1">
      <c r="A562" s="297"/>
    </row>
    <row r="563" spans="1:1">
      <c r="A563" s="297"/>
    </row>
    <row r="564" spans="1:1">
      <c r="A564" s="297"/>
    </row>
    <row r="565" spans="1:1">
      <c r="A565" s="297"/>
    </row>
    <row r="566" spans="1:1">
      <c r="A566" s="297"/>
    </row>
    <row r="567" spans="1:1">
      <c r="A567" s="297"/>
    </row>
    <row r="568" spans="1:1">
      <c r="A568" s="297"/>
    </row>
    <row r="569" spans="1:1">
      <c r="A569" s="297"/>
    </row>
    <row r="570" spans="1:1">
      <c r="A570" s="297"/>
    </row>
    <row r="571" spans="1:1">
      <c r="A571" s="297"/>
    </row>
    <row r="572" spans="1:1">
      <c r="A572" s="297"/>
    </row>
    <row r="573" spans="1:1">
      <c r="A573" s="297"/>
    </row>
    <row r="574" spans="1:1">
      <c r="A574" s="297"/>
    </row>
    <row r="575" spans="1:1">
      <c r="A575" s="297"/>
    </row>
    <row r="576" spans="1:1">
      <c r="A576" s="297"/>
    </row>
    <row r="577" spans="1:1">
      <c r="A577" s="297"/>
    </row>
    <row r="578" spans="1:1">
      <c r="A578" s="297"/>
    </row>
    <row r="579" spans="1:1">
      <c r="A579" s="297"/>
    </row>
    <row r="580" spans="1:1">
      <c r="A580" s="297"/>
    </row>
    <row r="581" spans="1:1">
      <c r="A581" s="297"/>
    </row>
    <row r="582" spans="1:1">
      <c r="A582" s="297"/>
    </row>
    <row r="583" spans="1:1">
      <c r="A583" s="297"/>
    </row>
    <row r="584" spans="1:1">
      <c r="A584" s="297"/>
    </row>
    <row r="585" spans="1:1">
      <c r="A585" s="297"/>
    </row>
    <row r="586" spans="1:1">
      <c r="A586" s="297"/>
    </row>
    <row r="587" spans="1:1">
      <c r="A587" s="297"/>
    </row>
    <row r="588" spans="1:1">
      <c r="A588" s="297"/>
    </row>
    <row r="589" spans="1:1">
      <c r="A589" s="297"/>
    </row>
    <row r="590" spans="1:1">
      <c r="A590" s="297"/>
    </row>
    <row r="591" spans="1:1">
      <c r="A591" s="297"/>
    </row>
    <row r="592" spans="1:1">
      <c r="A592" s="302"/>
    </row>
    <row r="593" spans="1:1">
      <c r="A593" s="297"/>
    </row>
    <row r="594" spans="1:1">
      <c r="A594" s="297"/>
    </row>
    <row r="595" spans="1:1">
      <c r="A595" s="297"/>
    </row>
    <row r="596" spans="1:1">
      <c r="A596" s="297"/>
    </row>
    <row r="597" spans="1:1">
      <c r="A597" s="297"/>
    </row>
    <row r="598" spans="1:1">
      <c r="A598" s="297"/>
    </row>
    <row r="599" spans="1:1">
      <c r="A599" s="297"/>
    </row>
    <row r="600" spans="1:1">
      <c r="A600" s="297"/>
    </row>
    <row r="601" spans="1:1">
      <c r="A601" s="297"/>
    </row>
    <row r="602" spans="1:1">
      <c r="A602" s="386" t="s">
        <v>522</v>
      </c>
    </row>
  </sheetData>
  <sheetProtection algorithmName="SHA-512" hashValue="HpINgk/xoHQ9RQWxH9AulYno5ZB6gmGNe0WgLltuo87Gt/8X4uwE9gAPYYsMBBkgF0lUEb2rFT8otv3I9rt/fA==" saltValue="5lMsZBeaEaKE5um70+vamA==" spinCount="100000" sheet="1" objects="1" scenarios="1"/>
  <autoFilter ref="E4:P36" xr:uid="{00000000-0001-0000-0500-000000000000}"/>
  <mergeCells count="9">
    <mergeCell ref="D12:D18"/>
    <mergeCell ref="K3:P3"/>
    <mergeCell ref="D5:D11"/>
    <mergeCell ref="E3:J3"/>
    <mergeCell ref="T5:T7"/>
    <mergeCell ref="T9:T12"/>
    <mergeCell ref="T13:T14"/>
    <mergeCell ref="T15:T16"/>
    <mergeCell ref="T17:T19"/>
  </mergeCells>
  <phoneticPr fontId="73" type="noConversion"/>
  <pageMargins left="0.7" right="0.7" top="0.75" bottom="0.75" header="0.3" footer="0.3"/>
  <pageSetup orientation="portrait" horizontalDpi="1200" verticalDpi="12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Workbook Instructions</vt:lpstr>
      <vt:lpstr>Overview Page</vt:lpstr>
      <vt:lpstr>1. Measure Selection</vt:lpstr>
      <vt:lpstr>2. Close the Gap Calculator</vt:lpstr>
      <vt:lpstr>3. Dashboard</vt:lpstr>
      <vt:lpstr>DataValTab</vt:lpstr>
      <vt:lpstr>'1. Measure Selection'!Criteria</vt:lpstr>
      <vt:lpstr>'1. Measure Selection'!Extract</vt:lpstr>
      <vt:lpstr>Meas_Desc</vt:lpstr>
      <vt:lpstr>'3. Dashboard'!Print_Area</vt:lpstr>
      <vt:lpstr>'Overview Page'!Print_Area</vt:lpstr>
      <vt:lpstr>'Workbook Instructions'!Print_Area</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Adithi Iyengar</dc:creator>
  <cp:lastModifiedBy>Adithi Iyengar</cp:lastModifiedBy>
  <cp:lastPrinted>2025-01-16T13:29:23Z</cp:lastPrinted>
  <dcterms:created xsi:type="dcterms:W3CDTF">2022-10-31T18:31:07Z</dcterms:created>
  <dcterms:modified xsi:type="dcterms:W3CDTF">2025-01-16T14:50:11Z</dcterms:modified>
</cp:coreProperties>
</file>